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污水管主管" sheetId="9" r:id="rId1"/>
    <sheet name="雨水主管" sheetId="12" r:id="rId2"/>
    <sheet name="雨水支连管DN300" sheetId="13" r:id="rId3"/>
    <sheet name="雨水街坊支管DN600" sheetId="14" r:id="rId4"/>
    <sheet name="污水街坊支管DN300" sheetId="15" r:id="rId5"/>
  </sheets>
  <definedNames>
    <definedName name="_xlnm._FilterDatabase" localSheetId="0" hidden="1">污水管主管!$B$3:$M$96</definedName>
    <definedName name="_xlnm.Print_Titles" localSheetId="0">污水管主管!$1:$3</definedName>
    <definedName name="_xlnm.Print_Titles" localSheetId="1">雨水主管!$2:$2</definedName>
    <definedName name="_xlnm.Print_Titles" localSheetId="2">雨水支连管DN300!$2:$2</definedName>
  </definedNames>
  <calcPr calcId="144525"/>
</workbook>
</file>

<file path=xl/sharedStrings.xml><?xml version="1.0" encoding="utf-8"?>
<sst xmlns="http://schemas.openxmlformats.org/spreadsheetml/2006/main" count="505" uniqueCount="211">
  <si>
    <t>市政工程污水管主管工程量计算表</t>
  </si>
  <si>
    <t xml:space="preserve">检查井编号 </t>
  </si>
  <si>
    <t>检查井规格</t>
  </si>
  <si>
    <t>桩号</t>
  </si>
  <si>
    <t>管道清单长</t>
  </si>
  <si>
    <t>污水管规格</t>
  </si>
  <si>
    <t>设计高程-1.48m</t>
  </si>
  <si>
    <t>槽底高程</t>
  </si>
  <si>
    <t>沟槽开挖深度</t>
  </si>
  <si>
    <t>沟槽底宽</t>
  </si>
  <si>
    <t>沟槽面宽</t>
  </si>
  <si>
    <t>挖沟槽断面面积</t>
  </si>
  <si>
    <t>分段沟槽挖土体积</t>
  </si>
  <si>
    <t>m</t>
  </si>
  <si>
    <r>
      <rPr>
        <sz val="11"/>
        <color theme="1"/>
        <rFont val="宋体"/>
        <charset val="134"/>
      </rPr>
      <t>m</t>
    </r>
    <r>
      <rPr>
        <vertAlign val="superscript"/>
        <sz val="11"/>
        <color theme="1"/>
        <rFont val="宋体"/>
        <charset val="134"/>
      </rPr>
      <t>2</t>
    </r>
  </si>
  <si>
    <r>
      <rPr>
        <sz val="11"/>
        <color theme="1"/>
        <rFont val="宋体"/>
        <charset val="134"/>
      </rPr>
      <t>m</t>
    </r>
    <r>
      <rPr>
        <vertAlign val="superscript"/>
        <sz val="11"/>
        <color theme="1"/>
        <rFont val="宋体"/>
        <charset val="134"/>
      </rPr>
      <t>3</t>
    </r>
  </si>
  <si>
    <t>WS1（已建）无</t>
  </si>
  <si>
    <t>φ1000</t>
  </si>
  <si>
    <t>K0+060</t>
  </si>
  <si>
    <t>DN400</t>
  </si>
  <si>
    <t>WS2</t>
  </si>
  <si>
    <t>K0+100</t>
  </si>
  <si>
    <t>WS3</t>
  </si>
  <si>
    <t>K0+140</t>
  </si>
  <si>
    <t>WS4</t>
  </si>
  <si>
    <t>K0+180</t>
  </si>
  <si>
    <t>WS5</t>
  </si>
  <si>
    <t>K0+220</t>
  </si>
  <si>
    <t>WS6</t>
  </si>
  <si>
    <t>K0+260</t>
  </si>
  <si>
    <t>WS7</t>
  </si>
  <si>
    <t>K0+290</t>
  </si>
  <si>
    <t>WS8（已建）无</t>
  </si>
  <si>
    <t>K0+315</t>
  </si>
  <si>
    <t>WS9</t>
  </si>
  <si>
    <t>K0+396</t>
  </si>
  <si>
    <t>DN500</t>
  </si>
  <si>
    <t>WS10</t>
  </si>
  <si>
    <t>K0+440</t>
  </si>
  <si>
    <t>WS11</t>
  </si>
  <si>
    <t>K0+480</t>
  </si>
  <si>
    <t>PE管DN500</t>
  </si>
  <si>
    <t>WS12</t>
  </si>
  <si>
    <t>K0+520</t>
  </si>
  <si>
    <t>WS13</t>
  </si>
  <si>
    <t>K0+570</t>
  </si>
  <si>
    <t>WS14</t>
  </si>
  <si>
    <t>K0+600</t>
  </si>
  <si>
    <t>WS15</t>
  </si>
  <si>
    <t>K0+640</t>
  </si>
  <si>
    <t>WS16</t>
  </si>
  <si>
    <t>K0+680</t>
  </si>
  <si>
    <t>WS17</t>
  </si>
  <si>
    <t>K0+720</t>
  </si>
  <si>
    <t>WS18</t>
  </si>
  <si>
    <t>K0+765</t>
  </si>
  <si>
    <t>WS19（已建）</t>
  </si>
  <si>
    <t>K0+852</t>
  </si>
  <si>
    <t>WS20</t>
  </si>
  <si>
    <t>K0+900</t>
  </si>
  <si>
    <t>WS21</t>
  </si>
  <si>
    <t>K0+940</t>
  </si>
  <si>
    <t>WS22</t>
  </si>
  <si>
    <t>K0+980</t>
  </si>
  <si>
    <t>WS23</t>
  </si>
  <si>
    <t>K1+020</t>
  </si>
  <si>
    <t>WS24</t>
  </si>
  <si>
    <t>K1+060</t>
  </si>
  <si>
    <t>WS25</t>
  </si>
  <si>
    <t>K1+100</t>
  </si>
  <si>
    <t>WS26</t>
  </si>
  <si>
    <t>K1+140</t>
  </si>
  <si>
    <t>WS27</t>
  </si>
  <si>
    <t>K1+180</t>
  </si>
  <si>
    <t>WS27‘-1</t>
  </si>
  <si>
    <t>K1+210.7</t>
  </si>
  <si>
    <t>WS27‘</t>
  </si>
  <si>
    <t>WS28倒虹吸</t>
  </si>
  <si>
    <t>K1+232</t>
  </si>
  <si>
    <t>WS29倒虹吸</t>
  </si>
  <si>
    <t>K1+260</t>
  </si>
  <si>
    <t>WS30</t>
  </si>
  <si>
    <t>K1+300</t>
  </si>
  <si>
    <t>WS31</t>
  </si>
  <si>
    <t>K1+340</t>
  </si>
  <si>
    <t>WS32</t>
  </si>
  <si>
    <t>K1+380</t>
  </si>
  <si>
    <t>WS33</t>
  </si>
  <si>
    <t>K1+420</t>
  </si>
  <si>
    <t>WS34</t>
  </si>
  <si>
    <t>K1+460</t>
  </si>
  <si>
    <t>WS35</t>
  </si>
  <si>
    <t>K1+493</t>
  </si>
  <si>
    <t>新做φ1000检查井</t>
  </si>
  <si>
    <t>32座</t>
  </si>
  <si>
    <t>DN500（合同外）</t>
  </si>
  <si>
    <t>PE500（合同外）</t>
  </si>
  <si>
    <t>管道扣除长度</t>
  </si>
  <si>
    <t>管道长度</t>
  </si>
  <si>
    <t>挖土方【合同内计算】</t>
  </si>
  <si>
    <t>管道15cm砂垫层</t>
  </si>
  <si>
    <t>回填至管顶50cm中粗砂</t>
  </si>
  <si>
    <t>C20砼包封（合同外）</t>
  </si>
  <si>
    <t>回填土方量DN400</t>
  </si>
  <si>
    <t>回填土方总量</t>
  </si>
  <si>
    <t>回填土方量DN500</t>
  </si>
  <si>
    <t>市政工程雨水管主管工程量计算表</t>
  </si>
  <si>
    <t>合同外变更</t>
  </si>
  <si>
    <t>管径</t>
  </si>
  <si>
    <t>管道定额长</t>
  </si>
  <si>
    <t>180°管基</t>
  </si>
  <si>
    <t>模板方量</t>
  </si>
  <si>
    <t>15cm垫层砂</t>
  </si>
  <si>
    <t>回填土方</t>
  </si>
  <si>
    <t>mm</t>
  </si>
  <si>
    <r>
      <rPr>
        <sz val="10"/>
        <color theme="1"/>
        <rFont val="宋体"/>
        <charset val="134"/>
      </rPr>
      <t>m</t>
    </r>
    <r>
      <rPr>
        <vertAlign val="superscript"/>
        <sz val="10"/>
        <color theme="1"/>
        <rFont val="宋体"/>
        <charset val="134"/>
      </rPr>
      <t>2</t>
    </r>
  </si>
  <si>
    <r>
      <rPr>
        <sz val="10"/>
        <color theme="1"/>
        <rFont val="宋体"/>
        <charset val="134"/>
      </rPr>
      <t>m</t>
    </r>
    <r>
      <rPr>
        <vertAlign val="superscript"/>
        <sz val="10"/>
        <color theme="1"/>
        <rFont val="宋体"/>
        <charset val="134"/>
      </rPr>
      <t>3</t>
    </r>
  </si>
  <si>
    <t>m3</t>
  </si>
  <si>
    <t>m2</t>
  </si>
  <si>
    <t>YS1</t>
  </si>
  <si>
    <t>φ1500</t>
  </si>
  <si>
    <t>K0+053</t>
  </si>
  <si>
    <t>D800</t>
  </si>
  <si>
    <t>YS2</t>
  </si>
  <si>
    <t>K0+110</t>
  </si>
  <si>
    <t>YS3</t>
  </si>
  <si>
    <t>K0+160</t>
  </si>
  <si>
    <t>YS4</t>
  </si>
  <si>
    <t>K0+200</t>
  </si>
  <si>
    <t>YS5</t>
  </si>
  <si>
    <t>K0+240</t>
  </si>
  <si>
    <t>YS6</t>
  </si>
  <si>
    <t>K0+280</t>
  </si>
  <si>
    <t>YS7【已建】</t>
  </si>
  <si>
    <t>YS8【已建】</t>
  </si>
  <si>
    <t>D1200</t>
  </si>
  <si>
    <t>YS9</t>
  </si>
  <si>
    <t>1800*1100</t>
  </si>
  <si>
    <t>K0+450</t>
  </si>
  <si>
    <t>YS10</t>
  </si>
  <si>
    <t>K0+500</t>
  </si>
  <si>
    <t>YS11</t>
  </si>
  <si>
    <t>排出口</t>
  </si>
  <si>
    <t>K0+535</t>
  </si>
  <si>
    <t>YS12</t>
  </si>
  <si>
    <t>YS13</t>
  </si>
  <si>
    <t>K0+536</t>
  </si>
  <si>
    <t>YS14</t>
  </si>
  <si>
    <t>K0+537</t>
  </si>
  <si>
    <t>YS15</t>
  </si>
  <si>
    <t>K0+538</t>
  </si>
  <si>
    <t>YS16</t>
  </si>
  <si>
    <t>K0+539</t>
  </si>
  <si>
    <t>YS17</t>
  </si>
  <si>
    <t>K0+860</t>
  </si>
  <si>
    <t>YS18</t>
  </si>
  <si>
    <t>K0+910</t>
  </si>
  <si>
    <t>YS19</t>
  </si>
  <si>
    <t>K0+960</t>
  </si>
  <si>
    <t>D1000</t>
  </si>
  <si>
    <t>YS20</t>
  </si>
  <si>
    <t>K1+010</t>
  </si>
  <si>
    <t>YS21</t>
  </si>
  <si>
    <t>K1+055</t>
  </si>
  <si>
    <t>YS22</t>
  </si>
  <si>
    <t>K1+105</t>
  </si>
  <si>
    <t>YS23</t>
  </si>
  <si>
    <t>K1+155</t>
  </si>
  <si>
    <t>YS24</t>
  </si>
  <si>
    <t>K1+200</t>
  </si>
  <si>
    <t>YS25</t>
  </si>
  <si>
    <t>K1+238</t>
  </si>
  <si>
    <t>YS26</t>
  </si>
  <si>
    <t>K1+252</t>
  </si>
  <si>
    <t>YS27</t>
  </si>
  <si>
    <t>K1+320</t>
  </si>
  <si>
    <t>YS28</t>
  </si>
  <si>
    <t>K1+360</t>
  </si>
  <si>
    <t>YS29</t>
  </si>
  <si>
    <t>K1+400</t>
  </si>
  <si>
    <t>YS30</t>
  </si>
  <si>
    <t>K1+440</t>
  </si>
  <si>
    <t>YS31</t>
  </si>
  <si>
    <t>K1+480</t>
  </si>
  <si>
    <t>19座</t>
  </si>
  <si>
    <t>DN800</t>
  </si>
  <si>
    <t>6座</t>
  </si>
  <si>
    <t>DN1000</t>
  </si>
  <si>
    <t>DN1200</t>
  </si>
  <si>
    <t>市政工程雨水管支连管DN300工程量计算表（雨水篦子）</t>
  </si>
  <si>
    <t>井号</t>
  </si>
  <si>
    <t>双篦雨水口</t>
  </si>
  <si>
    <t>管道长</t>
  </si>
  <si>
    <t>雨水支管规格</t>
  </si>
  <si>
    <t>沟槽开挖深度(D)</t>
  </si>
  <si>
    <t>沟槽底宽(E)</t>
  </si>
  <si>
    <t>沟槽面宽(F)</t>
  </si>
  <si>
    <t>挖沟槽断面面积(G)</t>
  </si>
  <si>
    <t>管道包封C25混凝土</t>
  </si>
  <si>
    <t>包封模板</t>
  </si>
  <si>
    <t>回填土</t>
  </si>
  <si>
    <t>个数</t>
  </si>
  <si>
    <t>DN300</t>
  </si>
  <si>
    <t>合计：</t>
  </si>
  <si>
    <t>市政工程雨水管街坊支管DN600工程量计算表</t>
  </si>
  <si>
    <t>DN600</t>
  </si>
  <si>
    <t>φ1250雨水沉泥井</t>
  </si>
  <si>
    <t>20座</t>
  </si>
  <si>
    <t>市政工程污水管街坊支管DN300工程量计算表</t>
  </si>
  <si>
    <t>φ1000污水沉泥井</t>
  </si>
  <si>
    <t>17座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</si>
</sst>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.0000_ "/>
  </numFmts>
  <fonts count="35">
    <font>
      <sz val="11"/>
      <color theme="1"/>
      <name val="等线"/>
      <charset val="134"/>
      <scheme val="minor"/>
    </font>
    <font>
      <b/>
      <sz val="16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theme="1"/>
      <name val="宋体"/>
      <charset val="134"/>
    </font>
    <font>
      <b/>
      <sz val="11"/>
      <color theme="1"/>
      <name val="等线"/>
      <charset val="134"/>
      <scheme val="minor"/>
    </font>
    <font>
      <b/>
      <sz val="8"/>
      <color theme="1"/>
      <name val="宋体"/>
      <charset val="134"/>
    </font>
    <font>
      <sz val="10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color theme="1"/>
      <name val="等线"/>
      <charset val="134"/>
      <scheme val="minor"/>
    </font>
    <font>
      <sz val="11"/>
      <color indexed="8"/>
      <name val="宋体"/>
      <charset val="134"/>
    </font>
    <font>
      <vertAlign val="superscript"/>
      <sz val="11"/>
      <color theme="1"/>
      <name val="宋体"/>
      <charset val="134"/>
    </font>
    <font>
      <vertAlign val="superscript"/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/>
    <xf numFmtId="0" fontId="0" fillId="0" borderId="0"/>
  </cellStyleXfs>
  <cellXfs count="69">
    <xf numFmtId="0" fontId="0" fillId="0" borderId="0" xfId="0"/>
    <xf numFmtId="0" fontId="0" fillId="0" borderId="0" xfId="54">
      <alignment vertical="center"/>
    </xf>
    <xf numFmtId="0" fontId="1" fillId="0" borderId="0" xfId="54" applyFont="1" applyAlignment="1">
      <alignment horizontal="center" vertical="center" wrapText="1"/>
    </xf>
    <xf numFmtId="0" fontId="2" fillId="0" borderId="1" xfId="54" applyFont="1" applyBorder="1" applyAlignment="1">
      <alignment horizontal="center" vertical="center" wrapText="1"/>
    </xf>
    <xf numFmtId="0" fontId="3" fillId="0" borderId="1" xfId="54" applyFont="1" applyBorder="1" applyAlignment="1">
      <alignment horizontal="center" vertical="center" wrapText="1"/>
    </xf>
    <xf numFmtId="0" fontId="4" fillId="0" borderId="1" xfId="54" applyFont="1" applyBorder="1" applyAlignment="1">
      <alignment horizontal="center" vertical="center" wrapText="1"/>
    </xf>
    <xf numFmtId="0" fontId="4" fillId="0" borderId="1" xfId="54" applyFont="1" applyBorder="1" applyAlignment="1">
      <alignment horizontal="center" vertical="center"/>
    </xf>
    <xf numFmtId="0" fontId="5" fillId="0" borderId="1" xfId="54" applyFont="1" applyBorder="1" applyAlignment="1">
      <alignment horizontal="center" vertical="center"/>
    </xf>
    <xf numFmtId="0" fontId="6" fillId="0" borderId="1" xfId="54" applyFont="1" applyBorder="1" applyAlignment="1">
      <alignment horizontal="center" vertical="center"/>
    </xf>
    <xf numFmtId="0" fontId="7" fillId="0" borderId="1" xfId="54" applyFont="1" applyBorder="1" applyAlignment="1">
      <alignment horizontal="center" vertical="center" wrapText="1"/>
    </xf>
    <xf numFmtId="0" fontId="7" fillId="0" borderId="1" xfId="54" applyFont="1" applyBorder="1" applyAlignment="1">
      <alignment horizontal="center" vertical="center"/>
    </xf>
    <xf numFmtId="0" fontId="8" fillId="0" borderId="1" xfId="54" applyFont="1" applyBorder="1" applyAlignment="1">
      <alignment horizontal="center" vertical="center" wrapText="1"/>
    </xf>
    <xf numFmtId="0" fontId="8" fillId="2" borderId="1" xfId="54" applyFont="1" applyFill="1" applyBorder="1" applyAlignment="1">
      <alignment horizontal="center" vertical="center" wrapText="1"/>
    </xf>
    <xf numFmtId="0" fontId="8" fillId="0" borderId="1" xfId="54" applyFont="1" applyBorder="1" applyAlignment="1">
      <alignment horizontal="center" vertical="center"/>
    </xf>
    <xf numFmtId="176" fontId="4" fillId="0" borderId="1" xfId="54" applyNumberFormat="1" applyFont="1" applyBorder="1" applyAlignment="1">
      <alignment horizontal="center" vertical="center"/>
    </xf>
    <xf numFmtId="176" fontId="4" fillId="0" borderId="1" xfId="54" applyNumberFormat="1" applyFont="1" applyBorder="1" applyAlignment="1">
      <alignment horizontal="center" vertical="center" wrapText="1"/>
    </xf>
    <xf numFmtId="0" fontId="0" fillId="0" borderId="0" xfId="54" applyAlignment="1">
      <alignment horizontal="center" vertical="center" wrapText="1"/>
    </xf>
    <xf numFmtId="0" fontId="6" fillId="0" borderId="1" xfId="54" applyFont="1" applyBorder="1" applyAlignment="1">
      <alignment horizontal="center" vertical="center" wrapText="1"/>
    </xf>
    <xf numFmtId="176" fontId="7" fillId="0" borderId="1" xfId="54" applyNumberFormat="1" applyFont="1" applyBorder="1" applyAlignment="1">
      <alignment horizontal="center" vertical="center" wrapText="1"/>
    </xf>
    <xf numFmtId="0" fontId="9" fillId="0" borderId="1" xfId="54" applyFont="1" applyBorder="1" applyAlignment="1">
      <alignment horizontal="center" vertical="center" wrapText="1"/>
    </xf>
    <xf numFmtId="0" fontId="0" fillId="0" borderId="0" xfId="54" applyAlignment="1">
      <alignment vertical="center" wrapText="1"/>
    </xf>
    <xf numFmtId="0" fontId="0" fillId="0" borderId="0" xfId="54" applyBorder="1">
      <alignment vertical="center"/>
    </xf>
    <xf numFmtId="0" fontId="1" fillId="0" borderId="2" xfId="54" applyFont="1" applyBorder="1" applyAlignment="1">
      <alignment horizontal="center" vertical="center"/>
    </xf>
    <xf numFmtId="0" fontId="0" fillId="0" borderId="2" xfId="54" applyBorder="1" applyAlignment="1">
      <alignment horizontal="center" vertical="center"/>
    </xf>
    <xf numFmtId="0" fontId="0" fillId="0" borderId="0" xfId="54" applyBorder="1" applyAlignment="1">
      <alignment horizontal="center" vertical="center"/>
    </xf>
    <xf numFmtId="176" fontId="10" fillId="0" borderId="1" xfId="54" applyNumberFormat="1" applyFont="1" applyBorder="1" applyAlignment="1">
      <alignment horizontal="center" vertical="center"/>
    </xf>
    <xf numFmtId="0" fontId="11" fillId="0" borderId="1" xfId="54" applyFont="1" applyBorder="1" applyAlignment="1">
      <alignment horizontal="center" vertical="center"/>
    </xf>
    <xf numFmtId="176" fontId="5" fillId="0" borderId="1" xfId="54" applyNumberFormat="1" applyFont="1" applyFill="1" applyBorder="1" applyAlignment="1">
      <alignment horizontal="right" vertical="center" wrapText="1"/>
    </xf>
    <xf numFmtId="176" fontId="4" fillId="0" borderId="1" xfId="54" applyNumberFormat="1" applyFont="1" applyBorder="1" applyAlignment="1">
      <alignment vertical="center"/>
    </xf>
    <xf numFmtId="176" fontId="4" fillId="0" borderId="1" xfId="54" applyNumberFormat="1" applyFont="1" applyBorder="1" applyAlignment="1">
      <alignment vertical="center" wrapText="1"/>
    </xf>
    <xf numFmtId="176" fontId="6" fillId="0" borderId="1" xfId="54" applyNumberFormat="1" applyFont="1" applyBorder="1" applyAlignment="1">
      <alignment horizontal="center" vertical="center" wrapText="1"/>
    </xf>
    <xf numFmtId="176" fontId="5" fillId="0" borderId="1" xfId="54" applyNumberFormat="1" applyFont="1" applyBorder="1" applyAlignment="1">
      <alignment horizontal="center" vertical="center" wrapText="1"/>
    </xf>
    <xf numFmtId="0" fontId="0" fillId="2" borderId="0" xfId="54" applyFill="1">
      <alignment vertical="center"/>
    </xf>
    <xf numFmtId="0" fontId="11" fillId="0" borderId="1" xfId="54" applyFont="1" applyBorder="1" applyAlignment="1">
      <alignment horizontal="center" vertical="center" wrapText="1"/>
    </xf>
    <xf numFmtId="176" fontId="7" fillId="0" borderId="1" xfId="54" applyNumberFormat="1" applyFont="1" applyBorder="1" applyAlignment="1">
      <alignment horizontal="center" vertical="center"/>
    </xf>
    <xf numFmtId="176" fontId="0" fillId="0" borderId="0" xfId="54" applyNumberFormat="1">
      <alignment vertical="center"/>
    </xf>
    <xf numFmtId="176" fontId="0" fillId="0" borderId="0" xfId="54" applyNumberFormat="1" applyBorder="1">
      <alignment vertical="center"/>
    </xf>
    <xf numFmtId="176" fontId="11" fillId="0" borderId="1" xfId="54" applyNumberFormat="1" applyFont="1" applyBorder="1" applyAlignment="1">
      <alignment horizontal="center" vertical="center"/>
    </xf>
    <xf numFmtId="0" fontId="2" fillId="0" borderId="3" xfId="54" applyFont="1" applyBorder="1" applyAlignment="1">
      <alignment horizontal="center" vertical="center" wrapText="1"/>
    </xf>
    <xf numFmtId="0" fontId="3" fillId="0" borderId="4" xfId="54" applyFont="1" applyBorder="1" applyAlignment="1">
      <alignment horizontal="center" vertical="center" wrapText="1"/>
    </xf>
    <xf numFmtId="0" fontId="4" fillId="0" borderId="3" xfId="54" applyFont="1" applyBorder="1" applyAlignment="1">
      <alignment horizontal="center" vertical="center" wrapText="1"/>
    </xf>
    <xf numFmtId="0" fontId="4" fillId="0" borderId="3" xfId="54" applyFont="1" applyBorder="1" applyAlignment="1">
      <alignment horizontal="center" vertical="center"/>
    </xf>
    <xf numFmtId="0" fontId="4" fillId="0" borderId="4" xfId="54" applyFont="1" applyBorder="1" applyAlignment="1">
      <alignment horizontal="center" vertical="center" wrapText="1"/>
    </xf>
    <xf numFmtId="0" fontId="4" fillId="0" borderId="4" xfId="54" applyFont="1" applyBorder="1" applyAlignment="1">
      <alignment horizontal="center" vertical="center"/>
    </xf>
    <xf numFmtId="0" fontId="4" fillId="0" borderId="0" xfId="54" applyFont="1" applyAlignment="1">
      <alignment horizontal="center" vertical="center"/>
    </xf>
    <xf numFmtId="0" fontId="4" fillId="0" borderId="5" xfId="54" applyFont="1" applyBorder="1" applyAlignment="1">
      <alignment horizontal="center" vertical="center" wrapText="1"/>
    </xf>
    <xf numFmtId="0" fontId="4" fillId="0" borderId="1" xfId="54" applyFont="1" applyBorder="1" applyAlignment="1">
      <alignment vertical="center" wrapText="1"/>
    </xf>
    <xf numFmtId="0" fontId="4" fillId="2" borderId="1" xfId="54" applyFont="1" applyFill="1" applyBorder="1" applyAlignment="1">
      <alignment horizontal="center" vertical="center"/>
    </xf>
    <xf numFmtId="177" fontId="5" fillId="0" borderId="1" xfId="54" applyNumberFormat="1" applyFont="1" applyFill="1" applyBorder="1" applyAlignment="1">
      <alignment horizontal="right" vertical="center" wrapText="1"/>
    </xf>
    <xf numFmtId="0" fontId="4" fillId="0" borderId="1" xfId="54" applyFont="1" applyBorder="1" applyAlignment="1">
      <alignment vertical="center"/>
    </xf>
    <xf numFmtId="178" fontId="4" fillId="0" borderId="1" xfId="54" applyNumberFormat="1" applyFont="1" applyBorder="1" applyAlignment="1">
      <alignment vertical="center" wrapText="1"/>
    </xf>
    <xf numFmtId="176" fontId="4" fillId="0" borderId="3" xfId="54" applyNumberFormat="1" applyFont="1" applyBorder="1" applyAlignment="1">
      <alignment horizontal="center" vertical="center" wrapText="1"/>
    </xf>
    <xf numFmtId="176" fontId="4" fillId="0" borderId="4" xfId="54" applyNumberFormat="1" applyFont="1" applyBorder="1" applyAlignment="1">
      <alignment horizontal="center" vertical="center" wrapText="1"/>
    </xf>
    <xf numFmtId="176" fontId="4" fillId="0" borderId="3" xfId="54" applyNumberFormat="1" applyFont="1" applyBorder="1" applyAlignment="1">
      <alignment horizontal="center" vertical="center"/>
    </xf>
    <xf numFmtId="176" fontId="4" fillId="0" borderId="5" xfId="54" applyNumberFormat="1" applyFont="1" applyBorder="1" applyAlignment="1">
      <alignment horizontal="center" vertical="center"/>
    </xf>
    <xf numFmtId="176" fontId="4" fillId="0" borderId="5" xfId="54" applyNumberFormat="1" applyFont="1" applyBorder="1" applyAlignment="1">
      <alignment horizontal="center" vertical="center" wrapText="1"/>
    </xf>
    <xf numFmtId="0" fontId="7" fillId="2" borderId="1" xfId="54" applyFont="1" applyFill="1" applyBorder="1" applyAlignment="1">
      <alignment horizontal="center" vertical="center" wrapText="1"/>
    </xf>
    <xf numFmtId="176" fontId="0" fillId="0" borderId="1" xfId="54" applyNumberFormat="1" applyBorder="1">
      <alignment vertical="center"/>
    </xf>
    <xf numFmtId="176" fontId="0" fillId="0" borderId="1" xfId="54" applyNumberFormat="1" applyBorder="1" applyAlignment="1">
      <alignment horizontal="center" vertical="center" wrapText="1"/>
    </xf>
    <xf numFmtId="176" fontId="8" fillId="0" borderId="6" xfId="54" applyNumberFormat="1" applyFont="1" applyBorder="1" applyAlignment="1">
      <alignment horizontal="center" vertical="center" wrapText="1"/>
    </xf>
    <xf numFmtId="176" fontId="8" fillId="0" borderId="7" xfId="54" applyNumberFormat="1" applyFont="1" applyBorder="1" applyAlignment="1">
      <alignment horizontal="center" vertical="center" wrapText="1"/>
    </xf>
    <xf numFmtId="176" fontId="0" fillId="0" borderId="6" xfId="54" applyNumberFormat="1" applyBorder="1" applyAlignment="1">
      <alignment horizontal="center" vertical="center" wrapText="1"/>
    </xf>
    <xf numFmtId="176" fontId="0" fillId="0" borderId="7" xfId="54" applyNumberFormat="1" applyBorder="1" applyAlignment="1">
      <alignment horizontal="center" vertical="center" wrapText="1"/>
    </xf>
    <xf numFmtId="0" fontId="0" fillId="0" borderId="1" xfId="54" applyBorder="1" applyAlignment="1">
      <alignment horizontal="center" vertical="center" wrapText="1"/>
    </xf>
    <xf numFmtId="0" fontId="4" fillId="0" borderId="4" xfId="54" applyFont="1" applyBorder="1" applyAlignment="1">
      <alignment vertical="center" wrapText="1"/>
    </xf>
    <xf numFmtId="0" fontId="4" fillId="0" borderId="3" xfId="54" applyFont="1" applyBorder="1" applyAlignment="1">
      <alignment vertical="center" wrapText="1"/>
    </xf>
    <xf numFmtId="0" fontId="4" fillId="0" borderId="5" xfId="54" applyFont="1" applyBorder="1" applyAlignment="1">
      <alignment vertical="center" wrapText="1"/>
    </xf>
    <xf numFmtId="176" fontId="7" fillId="0" borderId="3" xfId="54" applyNumberFormat="1" applyFont="1" applyBorder="1" applyAlignment="1">
      <alignment horizontal="center" vertical="center" wrapText="1"/>
    </xf>
    <xf numFmtId="176" fontId="7" fillId="0" borderId="4" xfId="54" applyNumberFormat="1" applyFont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 2" xfId="50"/>
    <cellStyle name="Normal 2" xfId="51"/>
    <cellStyle name="Normal" xfId="52"/>
    <cellStyle name="常规 2" xfId="53"/>
    <cellStyle name="常规 3" xfId="54"/>
    <cellStyle name="常规 4" xfId="55"/>
    <cellStyle name="常规 5" xfId="56"/>
    <cellStyle name="常规 7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M97"/>
  <sheetViews>
    <sheetView tabSelected="1" workbookViewId="0">
      <pane ySplit="2" topLeftCell="A78" activePane="bottomLeft" state="frozen"/>
      <selection/>
      <selection pane="bottomLeft" activeCell="O91" sqref="O91"/>
    </sheetView>
  </sheetViews>
  <sheetFormatPr defaultColWidth="9" defaultRowHeight="14.25"/>
  <cols>
    <col min="1" max="1" width="4.38333333333333" style="1" customWidth="1"/>
    <col min="2" max="2" width="12.1333333333333" style="1" customWidth="1"/>
    <col min="3" max="4" width="11.875" style="1" customWidth="1"/>
    <col min="5" max="5" width="14.5" style="1" customWidth="1"/>
    <col min="6" max="6" width="8.88333333333333" style="1"/>
    <col min="7" max="7" width="13.5" style="1" customWidth="1"/>
    <col min="8" max="8" width="12.75" style="1" customWidth="1"/>
    <col min="9" max="10" width="11.6333333333333" style="1" customWidth="1"/>
    <col min="11" max="11" width="11.25" style="1" customWidth="1"/>
    <col min="12" max="12" width="9.55833333333333" style="1" customWidth="1"/>
    <col min="13" max="13" width="10" style="1" customWidth="1"/>
    <col min="14" max="16372" width="8.88333333333333" style="1"/>
    <col min="16373" max="16380" width="9" style="1"/>
    <col min="16382" max="16383" width="9" style="1"/>
  </cols>
  <sheetData>
    <row r="1" ht="43" customHeight="1" spans="2:13"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ht="44.4" customHeight="1" spans="2:13">
      <c r="B2" s="3" t="s">
        <v>1</v>
      </c>
      <c r="C2" s="3" t="s">
        <v>2</v>
      </c>
      <c r="D2" s="38" t="s">
        <v>3</v>
      </c>
      <c r="E2" s="38" t="s">
        <v>4</v>
      </c>
      <c r="F2" s="38" t="s">
        <v>5</v>
      </c>
      <c r="G2" s="38" t="s">
        <v>6</v>
      </c>
      <c r="H2" s="38" t="s">
        <v>7</v>
      </c>
      <c r="I2" s="38" t="s">
        <v>8</v>
      </c>
      <c r="J2" s="38" t="s">
        <v>9</v>
      </c>
      <c r="K2" s="38" t="s">
        <v>10</v>
      </c>
      <c r="L2" s="38" t="s">
        <v>11</v>
      </c>
      <c r="M2" s="38" t="s">
        <v>12</v>
      </c>
    </row>
    <row r="3" ht="15.75" customHeight="1" spans="2:13">
      <c r="B3" s="4"/>
      <c r="C3" s="4"/>
      <c r="D3" s="39"/>
      <c r="E3" s="39" t="s">
        <v>13</v>
      </c>
      <c r="F3" s="39"/>
      <c r="G3" s="39" t="s">
        <v>13</v>
      </c>
      <c r="H3" s="39" t="s">
        <v>13</v>
      </c>
      <c r="I3" s="39" t="s">
        <v>13</v>
      </c>
      <c r="J3" s="39" t="s">
        <v>13</v>
      </c>
      <c r="K3" s="39" t="s">
        <v>13</v>
      </c>
      <c r="L3" s="39" t="s">
        <v>14</v>
      </c>
      <c r="M3" s="39" t="s">
        <v>15</v>
      </c>
    </row>
    <row r="4" ht="12.45" customHeight="1" spans="2:13">
      <c r="B4" s="5" t="s">
        <v>16</v>
      </c>
      <c r="C4" s="6" t="s">
        <v>17</v>
      </c>
      <c r="D4" s="6" t="s">
        <v>18</v>
      </c>
      <c r="E4" s="6"/>
      <c r="F4" s="6"/>
      <c r="G4" s="6"/>
      <c r="H4" s="6"/>
      <c r="I4" s="6"/>
      <c r="J4" s="48"/>
      <c r="K4" s="49"/>
      <c r="L4" s="50"/>
      <c r="M4" s="46"/>
    </row>
    <row r="5" ht="12.45" customHeight="1" spans="2:13">
      <c r="B5" s="5"/>
      <c r="C5" s="6"/>
      <c r="D5" s="6"/>
      <c r="E5" s="40">
        <f>37.91+0.5+8.11</f>
        <v>46.52</v>
      </c>
      <c r="F5" s="41" t="s">
        <v>19</v>
      </c>
      <c r="G5" s="40">
        <f>(19.6+19.72)/2-1.48</f>
        <v>18.18</v>
      </c>
      <c r="H5" s="40">
        <f>15.93-0.05-0.15</f>
        <v>15.73</v>
      </c>
      <c r="I5" s="40">
        <f>G5-H5</f>
        <v>2.45</v>
      </c>
      <c r="J5" s="40">
        <f>0.4+0.05*2+0.35*2</f>
        <v>1.2</v>
      </c>
      <c r="K5" s="51">
        <f>I5*1*2+J5</f>
        <v>6.1</v>
      </c>
      <c r="L5" s="51">
        <f>(J5+K5)*I5/2</f>
        <v>8.94250000000001</v>
      </c>
      <c r="M5" s="51">
        <f>L5*E5*1.025</f>
        <v>426.4052275</v>
      </c>
    </row>
    <row r="6" ht="12.45" customHeight="1" spans="2:13">
      <c r="B6" s="6" t="s">
        <v>20</v>
      </c>
      <c r="C6" s="6" t="s">
        <v>17</v>
      </c>
      <c r="D6" s="6" t="s">
        <v>21</v>
      </c>
      <c r="E6" s="42"/>
      <c r="F6" s="43"/>
      <c r="G6" s="42"/>
      <c r="H6" s="42"/>
      <c r="I6" s="42"/>
      <c r="J6" s="42"/>
      <c r="K6" s="52"/>
      <c r="L6" s="52"/>
      <c r="M6" s="52"/>
    </row>
    <row r="7" ht="12.45" customHeight="1" spans="2:13">
      <c r="B7" s="6"/>
      <c r="C7" s="6"/>
      <c r="D7" s="6"/>
      <c r="E7" s="40">
        <v>40</v>
      </c>
      <c r="F7" s="5" t="s">
        <v>19</v>
      </c>
      <c r="G7" s="44">
        <f>(19.72+19.84)/2-1.48</f>
        <v>18.3</v>
      </c>
      <c r="H7" s="40">
        <f>15.92-0.15-0.05</f>
        <v>15.72</v>
      </c>
      <c r="I7" s="40">
        <f>G7-H7</f>
        <v>2.58</v>
      </c>
      <c r="J7" s="40">
        <f>0.4+0.05*2+0.35*2</f>
        <v>1.2</v>
      </c>
      <c r="K7" s="51">
        <f>I7*1*2+J7</f>
        <v>6.36</v>
      </c>
      <c r="L7" s="51">
        <f>(J7+K7)*I7/2</f>
        <v>9.75240000000001</v>
      </c>
      <c r="M7" s="51">
        <f>L7*E7*1.025</f>
        <v>399.8484</v>
      </c>
    </row>
    <row r="8" ht="12.45" customHeight="1" spans="2:13">
      <c r="B8" s="6" t="s">
        <v>22</v>
      </c>
      <c r="C8" s="6" t="s">
        <v>17</v>
      </c>
      <c r="D8" s="6" t="s">
        <v>23</v>
      </c>
      <c r="E8" s="42"/>
      <c r="F8" s="5"/>
      <c r="G8" s="44"/>
      <c r="H8" s="42"/>
      <c r="I8" s="42"/>
      <c r="J8" s="42"/>
      <c r="K8" s="52"/>
      <c r="L8" s="52"/>
      <c r="M8" s="52"/>
    </row>
    <row r="9" ht="12.45" customHeight="1" spans="2:13">
      <c r="B9" s="6"/>
      <c r="C9" s="6"/>
      <c r="D9" s="6"/>
      <c r="E9" s="40">
        <v>40</v>
      </c>
      <c r="F9" s="41" t="s">
        <v>19</v>
      </c>
      <c r="G9" s="40">
        <f>(19.84+19.93)/2-1.48</f>
        <v>18.405</v>
      </c>
      <c r="H9" s="40">
        <f>15.9-0.15-0.05</f>
        <v>15.7</v>
      </c>
      <c r="I9" s="40">
        <f>G9-H9</f>
        <v>2.705</v>
      </c>
      <c r="J9" s="40">
        <f>0.4+0.05*2+0.35*2</f>
        <v>1.2</v>
      </c>
      <c r="K9" s="51">
        <f>I9*1*2+J9</f>
        <v>6.61</v>
      </c>
      <c r="L9" s="51">
        <f>(J9+K9)*I9/2</f>
        <v>10.563025</v>
      </c>
      <c r="M9" s="51">
        <f>L9*E9*1.025</f>
        <v>433.084025</v>
      </c>
    </row>
    <row r="10" ht="12.45" customHeight="1" spans="2:13">
      <c r="B10" s="6" t="s">
        <v>24</v>
      </c>
      <c r="C10" s="6" t="s">
        <v>17</v>
      </c>
      <c r="D10" s="6" t="s">
        <v>25</v>
      </c>
      <c r="E10" s="42"/>
      <c r="F10" s="43"/>
      <c r="G10" s="42"/>
      <c r="H10" s="42"/>
      <c r="I10" s="42"/>
      <c r="J10" s="42"/>
      <c r="K10" s="52"/>
      <c r="L10" s="52"/>
      <c r="M10" s="52"/>
    </row>
    <row r="11" ht="12.45" customHeight="1" spans="2:13">
      <c r="B11" s="6"/>
      <c r="C11" s="6"/>
      <c r="D11" s="6"/>
      <c r="E11" s="40">
        <v>40</v>
      </c>
      <c r="F11" s="5" t="s">
        <v>19</v>
      </c>
      <c r="G11" s="40">
        <f>(19.93+19.84)/2-1.48</f>
        <v>18.405</v>
      </c>
      <c r="H11" s="40">
        <f>15.89-0.15-0.05</f>
        <v>15.69</v>
      </c>
      <c r="I11" s="40">
        <f>G11-H11</f>
        <v>2.715</v>
      </c>
      <c r="J11" s="40">
        <f>0.4+0.05*2+0.35*2</f>
        <v>1.2</v>
      </c>
      <c r="K11" s="51">
        <f>I11*1*2+J11</f>
        <v>6.63</v>
      </c>
      <c r="L11" s="51">
        <f>(J11+K11)*I11/2</f>
        <v>10.629225</v>
      </c>
      <c r="M11" s="51">
        <f>L11*E11*1.025</f>
        <v>435.798225</v>
      </c>
    </row>
    <row r="12" ht="12.45" customHeight="1" spans="2:13">
      <c r="B12" s="6" t="s">
        <v>26</v>
      </c>
      <c r="C12" s="6" t="s">
        <v>17</v>
      </c>
      <c r="D12" s="6" t="s">
        <v>27</v>
      </c>
      <c r="E12" s="42"/>
      <c r="F12" s="5"/>
      <c r="G12" s="42"/>
      <c r="H12" s="42"/>
      <c r="I12" s="42"/>
      <c r="J12" s="42"/>
      <c r="K12" s="52"/>
      <c r="L12" s="52"/>
      <c r="M12" s="52"/>
    </row>
    <row r="13" ht="12.45" customHeight="1" spans="2:13">
      <c r="B13" s="6"/>
      <c r="C13" s="6"/>
      <c r="D13" s="6"/>
      <c r="E13" s="40">
        <v>40</v>
      </c>
      <c r="F13" s="41" t="s">
        <v>19</v>
      </c>
      <c r="G13" s="40">
        <f>(19.84+19.69)/2-1.48</f>
        <v>18.285</v>
      </c>
      <c r="H13" s="40">
        <f>15.88-0.15-0.05</f>
        <v>15.68</v>
      </c>
      <c r="I13" s="40">
        <f>G13-H13</f>
        <v>2.605</v>
      </c>
      <c r="J13" s="40">
        <f>0.4+0.05*2+0.35*2</f>
        <v>1.2</v>
      </c>
      <c r="K13" s="51">
        <f>I13*1*2+J13</f>
        <v>6.41</v>
      </c>
      <c r="L13" s="51">
        <f>(J13+K13)*I13/2</f>
        <v>9.912025</v>
      </c>
      <c r="M13" s="51">
        <f>L13*E13*1.025</f>
        <v>406.393025</v>
      </c>
    </row>
    <row r="14" ht="12.45" customHeight="1" spans="2:13">
      <c r="B14" s="6" t="s">
        <v>28</v>
      </c>
      <c r="C14" s="6" t="s">
        <v>17</v>
      </c>
      <c r="D14" s="6" t="s">
        <v>29</v>
      </c>
      <c r="E14" s="42"/>
      <c r="F14" s="43"/>
      <c r="G14" s="42"/>
      <c r="H14" s="42"/>
      <c r="I14" s="42"/>
      <c r="J14" s="42"/>
      <c r="K14" s="52"/>
      <c r="L14" s="52"/>
      <c r="M14" s="52"/>
    </row>
    <row r="15" ht="12.45" customHeight="1" spans="2:13">
      <c r="B15" s="6"/>
      <c r="C15" s="6"/>
      <c r="D15" s="6"/>
      <c r="E15" s="40">
        <v>30</v>
      </c>
      <c r="F15" s="5" t="s">
        <v>19</v>
      </c>
      <c r="G15" s="40">
        <f>(19.69+19.58)/2-1.48</f>
        <v>18.155</v>
      </c>
      <c r="H15" s="40">
        <f>(15.87+15.86)/2-0.15-0.05</f>
        <v>15.665</v>
      </c>
      <c r="I15" s="40">
        <f>G15-H15</f>
        <v>2.49</v>
      </c>
      <c r="J15" s="40">
        <f>0.4+0.05*2+0.35*2</f>
        <v>1.2</v>
      </c>
      <c r="K15" s="51">
        <f>I15*1*2+J15</f>
        <v>6.18000000000001</v>
      </c>
      <c r="L15" s="51">
        <f>(J15+K15)*I15/2</f>
        <v>9.18810000000002</v>
      </c>
      <c r="M15" s="51">
        <f>L15*E15*1.025</f>
        <v>282.534075000001</v>
      </c>
    </row>
    <row r="16" ht="12.45" customHeight="1" spans="2:13">
      <c r="B16" s="6" t="s">
        <v>30</v>
      </c>
      <c r="C16" s="6" t="s">
        <v>17</v>
      </c>
      <c r="D16" s="6" t="s">
        <v>31</v>
      </c>
      <c r="E16" s="42"/>
      <c r="F16" s="5"/>
      <c r="G16" s="42"/>
      <c r="H16" s="42"/>
      <c r="I16" s="42"/>
      <c r="J16" s="42"/>
      <c r="K16" s="52"/>
      <c r="L16" s="52"/>
      <c r="M16" s="52"/>
    </row>
    <row r="17" ht="12.45" customHeight="1" spans="2:13">
      <c r="B17" s="6"/>
      <c r="C17" s="6"/>
      <c r="D17" s="6"/>
      <c r="E17" s="40">
        <f>25.43+24.4</f>
        <v>49.83</v>
      </c>
      <c r="F17" s="41" t="s">
        <v>19</v>
      </c>
      <c r="G17" s="40">
        <f>(19.58+19.48)/2-1.48</f>
        <v>18.05</v>
      </c>
      <c r="H17" s="40">
        <f>(15.85+15.86)/2-0.15-0.05</f>
        <v>15.655</v>
      </c>
      <c r="I17" s="40">
        <f>G17-H17</f>
        <v>2.395</v>
      </c>
      <c r="J17" s="40">
        <f>0.4+0.05*2+0.35*2</f>
        <v>1.2</v>
      </c>
      <c r="K17" s="51">
        <f>I17*1*2+J17</f>
        <v>5.99</v>
      </c>
      <c r="L17" s="51">
        <f>(J17+K17)*I17/2</f>
        <v>8.61002500000001</v>
      </c>
      <c r="M17" s="51">
        <f>L17*E17*1.025</f>
        <v>439.76348439375</v>
      </c>
    </row>
    <row r="18" ht="12.45" customHeight="1" spans="2:13">
      <c r="B18" s="6" t="s">
        <v>32</v>
      </c>
      <c r="C18" s="6" t="s">
        <v>17</v>
      </c>
      <c r="D18" s="6" t="s">
        <v>33</v>
      </c>
      <c r="E18" s="42"/>
      <c r="F18" s="43"/>
      <c r="G18" s="42"/>
      <c r="H18" s="42"/>
      <c r="I18" s="42"/>
      <c r="J18" s="42"/>
      <c r="K18" s="52"/>
      <c r="L18" s="52"/>
      <c r="M18" s="52"/>
    </row>
    <row r="19" ht="12.45" customHeight="1" spans="2:13">
      <c r="B19" s="6"/>
      <c r="C19" s="6"/>
      <c r="D19" s="6"/>
      <c r="E19" s="40"/>
      <c r="F19" s="5"/>
      <c r="G19" s="40"/>
      <c r="H19" s="40"/>
      <c r="I19" s="40"/>
      <c r="J19" s="40"/>
      <c r="K19" s="53"/>
      <c r="L19" s="51"/>
      <c r="M19" s="51"/>
    </row>
    <row r="20" ht="12.45" customHeight="1" spans="2:13">
      <c r="B20" s="6"/>
      <c r="C20" s="6"/>
      <c r="D20" s="6"/>
      <c r="E20" s="45"/>
      <c r="F20" s="5"/>
      <c r="G20" s="45"/>
      <c r="H20" s="45"/>
      <c r="I20" s="45"/>
      <c r="J20" s="45"/>
      <c r="K20" s="54"/>
      <c r="L20" s="55"/>
      <c r="M20" s="55"/>
    </row>
    <row r="21" ht="12.45" customHeight="1" spans="2:13">
      <c r="B21" s="6" t="s">
        <v>34</v>
      </c>
      <c r="C21" s="6" t="s">
        <v>17</v>
      </c>
      <c r="D21" s="6" t="s">
        <v>35</v>
      </c>
      <c r="E21" s="42"/>
      <c r="F21" s="5"/>
      <c r="G21" s="42"/>
      <c r="H21" s="45"/>
      <c r="I21" s="45"/>
      <c r="J21" s="45"/>
      <c r="K21" s="54"/>
      <c r="L21" s="55"/>
      <c r="M21" s="55"/>
    </row>
    <row r="22" ht="12.45" customHeight="1" spans="2:13">
      <c r="B22" s="6"/>
      <c r="C22" s="6"/>
      <c r="D22" s="6"/>
      <c r="E22" s="40">
        <f>13.4+5.2+42.6+1</f>
        <v>62.2</v>
      </c>
      <c r="F22" s="5" t="s">
        <v>36</v>
      </c>
      <c r="G22" s="5">
        <f>(19.54+19.78)/2-1.48</f>
        <v>18.18</v>
      </c>
      <c r="H22" s="5">
        <f>15.29-0.15-0.05</f>
        <v>15.09</v>
      </c>
      <c r="I22" s="5">
        <f>G22-H22</f>
        <v>3.09</v>
      </c>
      <c r="J22" s="40">
        <f t="shared" ref="J22:J26" si="0">0.5+0.05*2+0.35*2</f>
        <v>1.3</v>
      </c>
      <c r="K22" s="15">
        <f>I22*1*2+J22</f>
        <v>7.48</v>
      </c>
      <c r="L22" s="15">
        <f>(J22+K22)*I22/2</f>
        <v>13.5651</v>
      </c>
      <c r="M22" s="15">
        <f>L22*E22*1.025</f>
        <v>864.842950500001</v>
      </c>
    </row>
    <row r="23" ht="12.45" customHeight="1" spans="2:13">
      <c r="B23" s="6" t="s">
        <v>37</v>
      </c>
      <c r="C23" s="6" t="s">
        <v>17</v>
      </c>
      <c r="D23" s="6" t="s">
        <v>38</v>
      </c>
      <c r="E23" s="42"/>
      <c r="F23" s="5"/>
      <c r="G23" s="5"/>
      <c r="H23" s="5"/>
      <c r="I23" s="5"/>
      <c r="J23" s="42"/>
      <c r="K23" s="15"/>
      <c r="L23" s="15"/>
      <c r="M23" s="15"/>
    </row>
    <row r="24" ht="12.45" customHeight="1" spans="2:13">
      <c r="B24" s="6"/>
      <c r="C24" s="6"/>
      <c r="D24" s="6"/>
      <c r="E24" s="40">
        <f>37+1</f>
        <v>38</v>
      </c>
      <c r="F24" s="5" t="s">
        <v>36</v>
      </c>
      <c r="G24" s="5">
        <f>(19.78+19.99)/2-1.48</f>
        <v>18.405</v>
      </c>
      <c r="H24" s="5">
        <f>(15.25+15.17)/2-0.15-0.05</f>
        <v>15.01</v>
      </c>
      <c r="I24" s="5">
        <f>G24-H24</f>
        <v>3.395</v>
      </c>
      <c r="J24" s="40">
        <f t="shared" si="0"/>
        <v>1.3</v>
      </c>
      <c r="K24" s="15">
        <f>I24*1*2+J24</f>
        <v>8.09</v>
      </c>
      <c r="L24" s="15">
        <f>(J24+K24)*I24/2</f>
        <v>15.939525</v>
      </c>
      <c r="M24" s="15">
        <f>L24*E24*1.025</f>
        <v>620.844498750001</v>
      </c>
    </row>
    <row r="25" ht="12.45" customHeight="1" spans="2:13">
      <c r="B25" s="6" t="s">
        <v>39</v>
      </c>
      <c r="C25" s="6" t="s">
        <v>17</v>
      </c>
      <c r="D25" s="6" t="s">
        <v>40</v>
      </c>
      <c r="E25" s="42"/>
      <c r="F25" s="5"/>
      <c r="G25" s="5"/>
      <c r="H25" s="5"/>
      <c r="I25" s="5"/>
      <c r="J25" s="42"/>
      <c r="K25" s="15"/>
      <c r="L25" s="15"/>
      <c r="M25" s="15"/>
    </row>
    <row r="26" ht="12.45" customHeight="1" spans="2:13">
      <c r="B26" s="6"/>
      <c r="C26" s="6"/>
      <c r="D26" s="6"/>
      <c r="E26" s="40">
        <f>44.17+1</f>
        <v>45.17</v>
      </c>
      <c r="F26" s="5" t="s">
        <v>41</v>
      </c>
      <c r="G26" s="5">
        <f>(19.99+20.2)/2-1.48</f>
        <v>18.615</v>
      </c>
      <c r="H26" s="5">
        <f>(14.79+14.74)/2-0.15</f>
        <v>14.615</v>
      </c>
      <c r="I26" s="5">
        <f>G26-H26</f>
        <v>4</v>
      </c>
      <c r="J26" s="40">
        <v>1.3</v>
      </c>
      <c r="K26" s="15">
        <f>I26*0.5*2+J26</f>
        <v>5.3</v>
      </c>
      <c r="L26" s="15">
        <f>(J26+K26)*I26/2</f>
        <v>13.2</v>
      </c>
      <c r="M26" s="15">
        <f>L26*E26*1.025</f>
        <v>611.150099999999</v>
      </c>
    </row>
    <row r="27" ht="12.45" customHeight="1" spans="2:13">
      <c r="B27" s="6" t="s">
        <v>42</v>
      </c>
      <c r="C27" s="6" t="s">
        <v>17</v>
      </c>
      <c r="D27" s="6" t="s">
        <v>43</v>
      </c>
      <c r="E27" s="42"/>
      <c r="F27" s="5"/>
      <c r="G27" s="5"/>
      <c r="H27" s="5"/>
      <c r="I27" s="5"/>
      <c r="J27" s="42"/>
      <c r="K27" s="15"/>
      <c r="L27" s="15"/>
      <c r="M27" s="15"/>
    </row>
    <row r="28" ht="12.45" customHeight="1" spans="2:13">
      <c r="B28" s="6"/>
      <c r="C28" s="6"/>
      <c r="D28" s="6"/>
      <c r="E28" s="40">
        <f>48.9+1</f>
        <v>49.9</v>
      </c>
      <c r="F28" s="5" t="s">
        <v>41</v>
      </c>
      <c r="G28" s="5">
        <f>(20.2+20.28)/2-1.48</f>
        <v>18.76</v>
      </c>
      <c r="H28" s="5">
        <f>(14.68+14.74)/2-0.15</f>
        <v>14.56</v>
      </c>
      <c r="I28" s="5">
        <f>G28-H28</f>
        <v>4.2</v>
      </c>
      <c r="J28" s="40">
        <v>1.3</v>
      </c>
      <c r="K28" s="15">
        <f>I28*0.5*2+J28</f>
        <v>5.5</v>
      </c>
      <c r="L28" s="15">
        <f>(J28+K28)*I28/2</f>
        <v>14.28</v>
      </c>
      <c r="M28" s="15">
        <f>L28*E28*1.025</f>
        <v>730.3863</v>
      </c>
    </row>
    <row r="29" spans="2:13">
      <c r="B29" s="6" t="s">
        <v>44</v>
      </c>
      <c r="C29" s="6" t="s">
        <v>17</v>
      </c>
      <c r="D29" s="6" t="s">
        <v>45</v>
      </c>
      <c r="E29" s="42"/>
      <c r="F29" s="5"/>
      <c r="G29" s="5"/>
      <c r="H29" s="5"/>
      <c r="I29" s="5"/>
      <c r="J29" s="42"/>
      <c r="K29" s="15"/>
      <c r="L29" s="15"/>
      <c r="M29" s="15"/>
    </row>
    <row r="30" spans="2:13">
      <c r="B30" s="6"/>
      <c r="C30" s="6"/>
      <c r="D30" s="6"/>
      <c r="E30" s="40">
        <f>31+1</f>
        <v>32</v>
      </c>
      <c r="F30" s="5" t="s">
        <v>41</v>
      </c>
      <c r="G30" s="5">
        <f>(20.28+20.14)/2-1.48</f>
        <v>18.73</v>
      </c>
      <c r="H30" s="5">
        <f>(14.68+14.64)/2-0.15</f>
        <v>14.51</v>
      </c>
      <c r="I30" s="5">
        <f>G30-H30</f>
        <v>4.22</v>
      </c>
      <c r="J30" s="40">
        <v>1.3</v>
      </c>
      <c r="K30" s="15">
        <f>I30*0.5*2+J30</f>
        <v>5.52</v>
      </c>
      <c r="L30" s="15">
        <f>(J30+K30)*I30/2</f>
        <v>14.3902</v>
      </c>
      <c r="M30" s="15">
        <f>L30*E30*1.025</f>
        <v>471.99856</v>
      </c>
    </row>
    <row r="31" spans="2:13">
      <c r="B31" s="6" t="s">
        <v>46</v>
      </c>
      <c r="C31" s="6" t="s">
        <v>17</v>
      </c>
      <c r="D31" s="6" t="s">
        <v>47</v>
      </c>
      <c r="E31" s="42"/>
      <c r="F31" s="5"/>
      <c r="G31" s="5"/>
      <c r="H31" s="5"/>
      <c r="I31" s="5"/>
      <c r="J31" s="42"/>
      <c r="K31" s="15"/>
      <c r="L31" s="15"/>
      <c r="M31" s="15"/>
    </row>
    <row r="32" spans="2:13">
      <c r="B32" s="6"/>
      <c r="C32" s="6"/>
      <c r="D32" s="6"/>
      <c r="E32" s="40">
        <f>37.2+1</f>
        <v>38.2</v>
      </c>
      <c r="F32" s="5" t="s">
        <v>36</v>
      </c>
      <c r="G32" s="5">
        <f>(20.14+20)/2-1.48</f>
        <v>18.59</v>
      </c>
      <c r="H32" s="5">
        <f>(14.59+14.64)/2-0.15-0.05</f>
        <v>14.415</v>
      </c>
      <c r="I32" s="5">
        <f>G32-H32</f>
        <v>4.175</v>
      </c>
      <c r="J32" s="40">
        <f>0.5+0.05*2+0.35*2</f>
        <v>1.3</v>
      </c>
      <c r="K32" s="15">
        <f>I32*1*2+J32</f>
        <v>9.65</v>
      </c>
      <c r="L32" s="15">
        <f>(J32+K32)*I32/2</f>
        <v>22.858125</v>
      </c>
      <c r="M32" s="15">
        <f>L32*E32*1.025</f>
        <v>895.009884375</v>
      </c>
    </row>
    <row r="33" spans="2:13">
      <c r="B33" s="6" t="s">
        <v>48</v>
      </c>
      <c r="C33" s="6" t="s">
        <v>17</v>
      </c>
      <c r="D33" s="6" t="s">
        <v>49</v>
      </c>
      <c r="E33" s="42"/>
      <c r="F33" s="5"/>
      <c r="G33" s="5"/>
      <c r="H33" s="5"/>
      <c r="I33" s="5"/>
      <c r="J33" s="42"/>
      <c r="K33" s="15"/>
      <c r="L33" s="15"/>
      <c r="M33" s="15"/>
    </row>
    <row r="34" spans="2:13">
      <c r="B34" s="6"/>
      <c r="C34" s="6"/>
      <c r="D34" s="6"/>
      <c r="E34" s="40">
        <v>41.4</v>
      </c>
      <c r="F34" s="5" t="s">
        <v>36</v>
      </c>
      <c r="G34" s="5">
        <f>(20+19.85)/2-1.48</f>
        <v>18.445</v>
      </c>
      <c r="H34" s="5">
        <f>14.57-0.15-0.05</f>
        <v>14.37</v>
      </c>
      <c r="I34" s="5">
        <f>G34-H34</f>
        <v>4.075</v>
      </c>
      <c r="J34" s="40">
        <f t="shared" ref="J34:J38" si="1">0.5+0.05*2+0.35*2</f>
        <v>1.3</v>
      </c>
      <c r="K34" s="15">
        <f>I34*1*2+J34</f>
        <v>9.45</v>
      </c>
      <c r="L34" s="15">
        <f>(J34+K34)*I34/2</f>
        <v>21.903125</v>
      </c>
      <c r="M34" s="15">
        <f>L34*E34*1.025</f>
        <v>929.459109375</v>
      </c>
    </row>
    <row r="35" spans="2:13">
      <c r="B35" s="6" t="s">
        <v>50</v>
      </c>
      <c r="C35" s="6" t="s">
        <v>17</v>
      </c>
      <c r="D35" s="6" t="s">
        <v>51</v>
      </c>
      <c r="E35" s="42"/>
      <c r="F35" s="5"/>
      <c r="G35" s="5"/>
      <c r="H35" s="5"/>
      <c r="I35" s="5"/>
      <c r="J35" s="42"/>
      <c r="K35" s="15"/>
      <c r="L35" s="15"/>
      <c r="M35" s="15"/>
    </row>
    <row r="36" spans="2:13">
      <c r="B36" s="6"/>
      <c r="C36" s="6"/>
      <c r="D36" s="6"/>
      <c r="E36" s="40">
        <v>40.5</v>
      </c>
      <c r="F36" s="5" t="s">
        <v>36</v>
      </c>
      <c r="G36" s="5">
        <f>(19.85+19.71)/2-1.48</f>
        <v>18.3</v>
      </c>
      <c r="H36" s="5">
        <f>(14.54+14.49)/2-0.15-0.05</f>
        <v>14.315</v>
      </c>
      <c r="I36" s="5">
        <f>G36-H36</f>
        <v>3.985</v>
      </c>
      <c r="J36" s="40">
        <f t="shared" si="1"/>
        <v>1.3</v>
      </c>
      <c r="K36" s="15">
        <f>I36*1*2+J36</f>
        <v>9.27</v>
      </c>
      <c r="L36" s="15">
        <f>(J36+K36)*I36/2</f>
        <v>21.060725</v>
      </c>
      <c r="M36" s="15">
        <f>L36*E36*1.025</f>
        <v>874.283346562501</v>
      </c>
    </row>
    <row r="37" spans="2:13">
      <c r="B37" s="6" t="s">
        <v>52</v>
      </c>
      <c r="C37" s="6" t="s">
        <v>17</v>
      </c>
      <c r="D37" s="6" t="s">
        <v>53</v>
      </c>
      <c r="E37" s="42"/>
      <c r="F37" s="5"/>
      <c r="G37" s="5"/>
      <c r="H37" s="5"/>
      <c r="I37" s="5"/>
      <c r="J37" s="42"/>
      <c r="K37" s="15"/>
      <c r="L37" s="15"/>
      <c r="M37" s="15"/>
    </row>
    <row r="38" spans="2:13">
      <c r="B38" s="6"/>
      <c r="C38" s="6"/>
      <c r="D38" s="6"/>
      <c r="E38" s="40">
        <f>44.4+1+1.7</f>
        <v>47.1</v>
      </c>
      <c r="F38" s="5" t="s">
        <v>36</v>
      </c>
      <c r="G38" s="5">
        <f>(19.71+19.73)/2-1.48</f>
        <v>18.24</v>
      </c>
      <c r="H38" s="5">
        <f>14.47-0.15-0.05</f>
        <v>14.27</v>
      </c>
      <c r="I38" s="5">
        <f>G38-H38</f>
        <v>3.97</v>
      </c>
      <c r="J38" s="40">
        <f t="shared" si="1"/>
        <v>1.3</v>
      </c>
      <c r="K38" s="15">
        <f>I38*1*2+J38</f>
        <v>9.24</v>
      </c>
      <c r="L38" s="15">
        <f>(J38+K38)*I38/2</f>
        <v>20.9219</v>
      </c>
      <c r="M38" s="15">
        <f>L38*E38*1.025</f>
        <v>1010.05702725</v>
      </c>
    </row>
    <row r="39" ht="14.4" customHeight="1" spans="2:13">
      <c r="B39" s="6" t="s">
        <v>54</v>
      </c>
      <c r="C39" s="6" t="s">
        <v>17</v>
      </c>
      <c r="D39" s="6" t="s">
        <v>55</v>
      </c>
      <c r="E39" s="42"/>
      <c r="F39" s="5"/>
      <c r="G39" s="5"/>
      <c r="H39" s="5"/>
      <c r="I39" s="5"/>
      <c r="J39" s="42"/>
      <c r="K39" s="15"/>
      <c r="L39" s="15"/>
      <c r="M39" s="15"/>
    </row>
    <row r="40" spans="2:13">
      <c r="B40" s="6"/>
      <c r="C40" s="6"/>
      <c r="D40" s="6"/>
      <c r="E40" s="40"/>
      <c r="F40" s="5"/>
      <c r="G40" s="5"/>
      <c r="H40" s="5"/>
      <c r="I40" s="5"/>
      <c r="J40" s="5"/>
      <c r="K40" s="15"/>
      <c r="L40" s="15"/>
      <c r="M40" s="15"/>
    </row>
    <row r="41" spans="2:13">
      <c r="B41" s="6" t="s">
        <v>56</v>
      </c>
      <c r="C41" s="6" t="s">
        <v>17</v>
      </c>
      <c r="D41" s="6" t="s">
        <v>57</v>
      </c>
      <c r="E41" s="42"/>
      <c r="F41" s="5"/>
      <c r="G41" s="5"/>
      <c r="H41" s="5"/>
      <c r="I41" s="5"/>
      <c r="J41" s="5"/>
      <c r="K41" s="15"/>
      <c r="L41" s="15"/>
      <c r="M41" s="15"/>
    </row>
    <row r="42" spans="2:13">
      <c r="B42" s="6"/>
      <c r="C42" s="6"/>
      <c r="D42" s="6"/>
      <c r="E42" s="40">
        <f>47.5+1+3</f>
        <v>51.5</v>
      </c>
      <c r="F42" s="5" t="s">
        <v>19</v>
      </c>
      <c r="G42" s="5">
        <f>(19.23+19.14)/2-1.48</f>
        <v>17.705</v>
      </c>
      <c r="H42" s="5">
        <f>16.71-0.15-0.05</f>
        <v>16.51</v>
      </c>
      <c r="I42" s="5">
        <f>G42-H42</f>
        <v>1.195</v>
      </c>
      <c r="J42" s="40">
        <f>0.4+0.05*2+0.35*2</f>
        <v>1.2</v>
      </c>
      <c r="K42" s="15">
        <f>I42*1*2+J42</f>
        <v>3.58999999999999</v>
      </c>
      <c r="L42" s="15">
        <f>(J42+K42)*I42/2</f>
        <v>2.86202499999999</v>
      </c>
      <c r="M42" s="15">
        <f>L42*E42*1.025</f>
        <v>151.079144687499</v>
      </c>
    </row>
    <row r="43" spans="2:13">
      <c r="B43" s="6" t="s">
        <v>58</v>
      </c>
      <c r="C43" s="6" t="s">
        <v>17</v>
      </c>
      <c r="D43" s="6" t="s">
        <v>59</v>
      </c>
      <c r="E43" s="42"/>
      <c r="F43" s="5"/>
      <c r="G43" s="5"/>
      <c r="H43" s="5"/>
      <c r="I43" s="5"/>
      <c r="J43" s="42"/>
      <c r="K43" s="15"/>
      <c r="L43" s="15"/>
      <c r="M43" s="15"/>
    </row>
    <row r="44" spans="2:13">
      <c r="B44" s="6"/>
      <c r="C44" s="6"/>
      <c r="D44" s="6"/>
      <c r="E44" s="40">
        <v>38.8</v>
      </c>
      <c r="F44" s="5" t="s">
        <v>19</v>
      </c>
      <c r="G44" s="5">
        <f>(19.14+19.24)/2-1.48</f>
        <v>17.71</v>
      </c>
      <c r="H44" s="5">
        <f>16.78-0.15-0.05</f>
        <v>16.58</v>
      </c>
      <c r="I44" s="5">
        <f>G44-H44</f>
        <v>1.13</v>
      </c>
      <c r="J44" s="40">
        <f>0.4+0.05*2+0.35*2</f>
        <v>1.2</v>
      </c>
      <c r="K44" s="15">
        <f>I44*1*2+J44</f>
        <v>3.46</v>
      </c>
      <c r="L44" s="15">
        <f>(J44+K44)*I44/2</f>
        <v>2.6329</v>
      </c>
      <c r="M44" s="15">
        <f>L44*E44*1.025</f>
        <v>104.710433</v>
      </c>
    </row>
    <row r="45" spans="2:13">
      <c r="B45" s="6" t="s">
        <v>60</v>
      </c>
      <c r="C45" s="6" t="s">
        <v>17</v>
      </c>
      <c r="D45" s="6" t="s">
        <v>61</v>
      </c>
      <c r="E45" s="42"/>
      <c r="F45" s="5"/>
      <c r="G45" s="5"/>
      <c r="H45" s="5"/>
      <c r="I45" s="5"/>
      <c r="J45" s="42"/>
      <c r="K45" s="15"/>
      <c r="L45" s="15"/>
      <c r="M45" s="15"/>
    </row>
    <row r="46" spans="2:13">
      <c r="B46" s="6"/>
      <c r="C46" s="6"/>
      <c r="D46" s="6"/>
      <c r="E46" s="40">
        <v>41.6</v>
      </c>
      <c r="F46" s="5" t="s">
        <v>19</v>
      </c>
      <c r="G46" s="5">
        <f>(19.24+19.38)/2-1.48</f>
        <v>17.83</v>
      </c>
      <c r="H46" s="5">
        <f>16.86-0.15-0.05</f>
        <v>16.66</v>
      </c>
      <c r="I46" s="5">
        <f>G46-H46</f>
        <v>1.17</v>
      </c>
      <c r="J46" s="40">
        <f>0.4+0.05*2+0.35*2</f>
        <v>1.2</v>
      </c>
      <c r="K46" s="15">
        <f>I46*1*2+J46</f>
        <v>3.54</v>
      </c>
      <c r="L46" s="15">
        <f>(J46+K46)*I46/2</f>
        <v>2.77289999999999</v>
      </c>
      <c r="M46" s="15">
        <f>L46*E46*1.025</f>
        <v>118.236456</v>
      </c>
    </row>
    <row r="47" spans="2:13">
      <c r="B47" s="6" t="s">
        <v>62</v>
      </c>
      <c r="C47" s="6" t="s">
        <v>17</v>
      </c>
      <c r="D47" s="6" t="s">
        <v>63</v>
      </c>
      <c r="E47" s="42"/>
      <c r="F47" s="5"/>
      <c r="G47" s="5"/>
      <c r="H47" s="5"/>
      <c r="I47" s="5"/>
      <c r="J47" s="42"/>
      <c r="K47" s="15"/>
      <c r="L47" s="15"/>
      <c r="M47" s="15"/>
    </row>
    <row r="48" spans="2:13">
      <c r="B48" s="6"/>
      <c r="C48" s="6"/>
      <c r="D48" s="6"/>
      <c r="E48" s="40">
        <v>40.3</v>
      </c>
      <c r="F48" s="5" t="s">
        <v>19</v>
      </c>
      <c r="G48" s="5">
        <f>(19.38+19.52)/2-1.48</f>
        <v>17.97</v>
      </c>
      <c r="H48" s="5">
        <f>16.93-0.15-0.05</f>
        <v>16.73</v>
      </c>
      <c r="I48" s="5">
        <f>G48-H48</f>
        <v>1.24</v>
      </c>
      <c r="J48" s="40">
        <f>0.4+0.05*2+0.35*2</f>
        <v>1.2</v>
      </c>
      <c r="K48" s="15">
        <f>I48*1*2+J48</f>
        <v>3.68</v>
      </c>
      <c r="L48" s="15">
        <f>(J48+K48)*I48/2</f>
        <v>3.02559999999999</v>
      </c>
      <c r="M48" s="15">
        <f>L48*E48*1.025</f>
        <v>124.979972</v>
      </c>
    </row>
    <row r="49" spans="2:13">
      <c r="B49" s="6" t="s">
        <v>64</v>
      </c>
      <c r="C49" s="6" t="s">
        <v>17</v>
      </c>
      <c r="D49" s="6" t="s">
        <v>65</v>
      </c>
      <c r="E49" s="42"/>
      <c r="F49" s="5"/>
      <c r="G49" s="5"/>
      <c r="H49" s="5"/>
      <c r="I49" s="5"/>
      <c r="J49" s="42"/>
      <c r="K49" s="15"/>
      <c r="L49" s="15"/>
      <c r="M49" s="15"/>
    </row>
    <row r="50" spans="2:13">
      <c r="B50" s="6"/>
      <c r="C50" s="6"/>
      <c r="D50" s="6"/>
      <c r="E50" s="40">
        <v>39.6</v>
      </c>
      <c r="F50" s="5" t="s">
        <v>19</v>
      </c>
      <c r="G50" s="5">
        <f>(19.52+19.67)/2-1.48</f>
        <v>18.115</v>
      </c>
      <c r="H50" s="5">
        <f>17-0.15-0.05</f>
        <v>16.8</v>
      </c>
      <c r="I50" s="5">
        <f>G50-H50</f>
        <v>1.315</v>
      </c>
      <c r="J50" s="40">
        <f>0.4+0.05*2+0.35*2</f>
        <v>1.2</v>
      </c>
      <c r="K50" s="15">
        <f>I50*1*2+J50</f>
        <v>3.83</v>
      </c>
      <c r="L50" s="15">
        <f>(J50+K50)*I50/2</f>
        <v>3.30722499999999</v>
      </c>
      <c r="M50" s="15">
        <f>L50*E50*1.025</f>
        <v>134.24026275</v>
      </c>
    </row>
    <row r="51" spans="2:13">
      <c r="B51" s="6" t="s">
        <v>66</v>
      </c>
      <c r="C51" s="6" t="s">
        <v>17</v>
      </c>
      <c r="D51" s="6" t="s">
        <v>67</v>
      </c>
      <c r="E51" s="42"/>
      <c r="F51" s="5"/>
      <c r="G51" s="5"/>
      <c r="H51" s="5"/>
      <c r="I51" s="5"/>
      <c r="J51" s="42"/>
      <c r="K51" s="15"/>
      <c r="L51" s="15"/>
      <c r="M51" s="15"/>
    </row>
    <row r="52" spans="2:13">
      <c r="B52" s="6"/>
      <c r="C52" s="6"/>
      <c r="D52" s="6"/>
      <c r="E52" s="40">
        <v>39.5</v>
      </c>
      <c r="F52" s="5" t="s">
        <v>19</v>
      </c>
      <c r="G52" s="5">
        <f>(19.67+19.81)/2-1.48</f>
        <v>18.26</v>
      </c>
      <c r="H52" s="5">
        <f>17.07-0.15-0.05</f>
        <v>16.87</v>
      </c>
      <c r="I52" s="5">
        <f>G52-H52</f>
        <v>1.39</v>
      </c>
      <c r="J52" s="40">
        <f>0.4+0.05*2+0.35*2</f>
        <v>1.2</v>
      </c>
      <c r="K52" s="15">
        <f>I52*1*2+J52</f>
        <v>3.98</v>
      </c>
      <c r="L52" s="15">
        <f>(J52+K52)*I52/2</f>
        <v>3.6001</v>
      </c>
      <c r="M52" s="15">
        <f>L52*E52*1.025</f>
        <v>145.75904875</v>
      </c>
    </row>
    <row r="53" spans="2:13">
      <c r="B53" s="6" t="s">
        <v>68</v>
      </c>
      <c r="C53" s="6" t="s">
        <v>17</v>
      </c>
      <c r="D53" s="6" t="s">
        <v>69</v>
      </c>
      <c r="E53" s="42"/>
      <c r="F53" s="5"/>
      <c r="G53" s="5"/>
      <c r="H53" s="5"/>
      <c r="I53" s="5"/>
      <c r="J53" s="42"/>
      <c r="K53" s="15"/>
      <c r="L53" s="15"/>
      <c r="M53" s="15"/>
    </row>
    <row r="54" spans="2:13">
      <c r="B54" s="6"/>
      <c r="C54" s="6"/>
      <c r="D54" s="6"/>
      <c r="E54" s="40">
        <v>40.6</v>
      </c>
      <c r="F54" s="5" t="s">
        <v>19</v>
      </c>
      <c r="G54" s="5">
        <f>(19.81+19.96)/2-1.48</f>
        <v>18.405</v>
      </c>
      <c r="H54" s="5">
        <f>17.14-0.15-0.05</f>
        <v>16.94</v>
      </c>
      <c r="I54" s="5">
        <f>G54-H54</f>
        <v>1.465</v>
      </c>
      <c r="J54" s="40">
        <f>0.4+0.05*2+0.35*2</f>
        <v>1.2</v>
      </c>
      <c r="K54" s="15">
        <f>I54*1*2+J54</f>
        <v>4.13</v>
      </c>
      <c r="L54" s="15">
        <f>(J54+K54)*I54/2</f>
        <v>3.904225</v>
      </c>
      <c r="M54" s="15">
        <f>L54*E54*1.025</f>
        <v>162.474323375</v>
      </c>
    </row>
    <row r="55" spans="2:13">
      <c r="B55" s="6" t="s">
        <v>70</v>
      </c>
      <c r="C55" s="6" t="s">
        <v>17</v>
      </c>
      <c r="D55" s="6" t="s">
        <v>71</v>
      </c>
      <c r="E55" s="42"/>
      <c r="F55" s="5"/>
      <c r="G55" s="5"/>
      <c r="H55" s="5"/>
      <c r="I55" s="5"/>
      <c r="J55" s="42"/>
      <c r="K55" s="15"/>
      <c r="L55" s="15"/>
      <c r="M55" s="15"/>
    </row>
    <row r="56" spans="2:13">
      <c r="B56" s="6"/>
      <c r="C56" s="6"/>
      <c r="D56" s="6"/>
      <c r="E56" s="40">
        <v>41.2</v>
      </c>
      <c r="F56" s="5" t="s">
        <v>19</v>
      </c>
      <c r="G56" s="5">
        <f>(19.96+20.1)/2-1.48</f>
        <v>18.55</v>
      </c>
      <c r="H56" s="5">
        <f>17.22-0.15-0.05</f>
        <v>17.02</v>
      </c>
      <c r="I56" s="5">
        <f>G56-H56</f>
        <v>1.53</v>
      </c>
      <c r="J56" s="40">
        <f>0.4+0.05*2+0.35*2</f>
        <v>1.2</v>
      </c>
      <c r="K56" s="15">
        <f>I56*1*2+J56</f>
        <v>4.26</v>
      </c>
      <c r="L56" s="15">
        <f>(J56+K56)*I56/2</f>
        <v>4.17690000000001</v>
      </c>
      <c r="M56" s="15">
        <f>L56*E56*1.025</f>
        <v>176.390487</v>
      </c>
    </row>
    <row r="57" spans="2:13">
      <c r="B57" s="6" t="s">
        <v>72</v>
      </c>
      <c r="C57" s="6" t="s">
        <v>17</v>
      </c>
      <c r="D57" s="6" t="s">
        <v>73</v>
      </c>
      <c r="E57" s="42"/>
      <c r="F57" s="5"/>
      <c r="G57" s="5"/>
      <c r="H57" s="5"/>
      <c r="I57" s="5"/>
      <c r="J57" s="42"/>
      <c r="K57" s="15"/>
      <c r="L57" s="15"/>
      <c r="M57" s="15"/>
    </row>
    <row r="58" spans="2:13">
      <c r="B58" s="6"/>
      <c r="C58" s="6"/>
      <c r="D58" s="6"/>
      <c r="E58" s="5"/>
      <c r="F58" s="46"/>
      <c r="G58" s="5"/>
      <c r="H58" s="5"/>
      <c r="I58" s="5"/>
      <c r="J58" s="40"/>
      <c r="K58" s="15"/>
      <c r="L58" s="15"/>
      <c r="M58" s="15"/>
    </row>
    <row r="59" spans="2:13">
      <c r="B59" s="6" t="s">
        <v>74</v>
      </c>
      <c r="C59" s="6" t="s">
        <v>17</v>
      </c>
      <c r="D59" s="6" t="s">
        <v>75</v>
      </c>
      <c r="E59" s="5"/>
      <c r="F59" s="46"/>
      <c r="G59" s="5"/>
      <c r="H59" s="5"/>
      <c r="I59" s="5"/>
      <c r="J59" s="42"/>
      <c r="K59" s="15"/>
      <c r="L59" s="15"/>
      <c r="M59" s="15"/>
    </row>
    <row r="60" spans="2:13">
      <c r="B60" s="6"/>
      <c r="C60" s="6"/>
      <c r="D60" s="6"/>
      <c r="E60" s="5">
        <f>44.2+1</f>
        <v>45.2</v>
      </c>
      <c r="F60" s="40" t="s">
        <v>19</v>
      </c>
      <c r="G60" s="5">
        <f>20.41-1.48</f>
        <v>18.93</v>
      </c>
      <c r="H60" s="5">
        <f>17.31-0.15-0.05</f>
        <v>17.11</v>
      </c>
      <c r="I60" s="5">
        <f>G60-H60</f>
        <v>1.82</v>
      </c>
      <c r="J60" s="40">
        <f>0.4+0.05*2+0.35*2</f>
        <v>1.2</v>
      </c>
      <c r="K60" s="15">
        <f>I60*1*2+J60</f>
        <v>4.84</v>
      </c>
      <c r="L60" s="15">
        <f>(J60+K60)*I60/2</f>
        <v>5.4964</v>
      </c>
      <c r="M60" s="15">
        <f>L60*E60*1.025</f>
        <v>254.648212</v>
      </c>
    </row>
    <row r="61" spans="2:13">
      <c r="B61" s="6" t="s">
        <v>76</v>
      </c>
      <c r="C61" s="6" t="s">
        <v>17</v>
      </c>
      <c r="D61" s="6" t="s">
        <v>75</v>
      </c>
      <c r="E61" s="5"/>
      <c r="F61" s="42"/>
      <c r="G61" s="5"/>
      <c r="H61" s="5"/>
      <c r="I61" s="5"/>
      <c r="J61" s="42"/>
      <c r="K61" s="15"/>
      <c r="L61" s="15"/>
      <c r="M61" s="15"/>
    </row>
    <row r="62" spans="2:13">
      <c r="B62" s="6"/>
      <c r="C62" s="6"/>
      <c r="D62" s="6"/>
      <c r="E62" s="40"/>
      <c r="F62" s="40"/>
      <c r="G62" s="5"/>
      <c r="H62" s="5"/>
      <c r="I62" s="5"/>
      <c r="J62" s="5"/>
      <c r="K62" s="15"/>
      <c r="L62" s="15"/>
      <c r="M62" s="15"/>
    </row>
    <row r="63" spans="2:13">
      <c r="B63" s="47" t="s">
        <v>77</v>
      </c>
      <c r="C63" s="6" t="s">
        <v>17</v>
      </c>
      <c r="D63" s="6" t="s">
        <v>78</v>
      </c>
      <c r="E63" s="45"/>
      <c r="F63" s="42"/>
      <c r="G63" s="5"/>
      <c r="H63" s="5"/>
      <c r="I63" s="5"/>
      <c r="J63" s="5"/>
      <c r="K63" s="15"/>
      <c r="L63" s="15"/>
      <c r="M63" s="15"/>
    </row>
    <row r="64" spans="2:13">
      <c r="B64" s="47"/>
      <c r="C64" s="6"/>
      <c r="D64" s="6"/>
      <c r="E64" s="45"/>
      <c r="F64" s="40"/>
      <c r="G64" s="5"/>
      <c r="H64" s="5"/>
      <c r="I64" s="5"/>
      <c r="J64" s="5"/>
      <c r="K64" s="15"/>
      <c r="L64" s="15"/>
      <c r="M64" s="15"/>
    </row>
    <row r="65" spans="2:13">
      <c r="B65" s="47" t="s">
        <v>79</v>
      </c>
      <c r="C65" s="6" t="s">
        <v>17</v>
      </c>
      <c r="D65" s="6" t="s">
        <v>80</v>
      </c>
      <c r="E65" s="42"/>
      <c r="F65" s="42"/>
      <c r="G65" s="5"/>
      <c r="H65" s="5"/>
      <c r="I65" s="5"/>
      <c r="J65" s="5"/>
      <c r="K65" s="15"/>
      <c r="L65" s="15"/>
      <c r="M65" s="15"/>
    </row>
    <row r="66" spans="2:13">
      <c r="B66" s="47"/>
      <c r="C66" s="6"/>
      <c r="D66" s="6"/>
      <c r="E66" s="40"/>
      <c r="F66" s="40"/>
      <c r="G66" s="5"/>
      <c r="H66" s="5"/>
      <c r="I66" s="5"/>
      <c r="J66" s="5"/>
      <c r="K66" s="15"/>
      <c r="L66" s="15"/>
      <c r="M66" s="15"/>
    </row>
    <row r="67" spans="2:13">
      <c r="B67" s="6" t="s">
        <v>81</v>
      </c>
      <c r="C67" s="6" t="s">
        <v>17</v>
      </c>
      <c r="D67" s="6" t="s">
        <v>82</v>
      </c>
      <c r="E67" s="45"/>
      <c r="F67" s="42"/>
      <c r="G67" s="5"/>
      <c r="H67" s="5"/>
      <c r="I67" s="5"/>
      <c r="J67" s="5"/>
      <c r="K67" s="15"/>
      <c r="L67" s="15"/>
      <c r="M67" s="15"/>
    </row>
    <row r="68" spans="2:13">
      <c r="B68" s="6"/>
      <c r="C68" s="6"/>
      <c r="D68" s="6"/>
      <c r="E68" s="40">
        <v>35.8</v>
      </c>
      <c r="F68" s="40" t="s">
        <v>19</v>
      </c>
      <c r="G68" s="5">
        <f>(20.16+20.04)/2-1.48</f>
        <v>18.62</v>
      </c>
      <c r="H68" s="5">
        <f>17.74-0.15-0.05</f>
        <v>17.54</v>
      </c>
      <c r="I68" s="5">
        <f>0.5+0.15+0.7</f>
        <v>1.35</v>
      </c>
      <c r="J68" s="40">
        <f>0.4+0.05*2+0.35*2</f>
        <v>1.2</v>
      </c>
      <c r="K68" s="15">
        <f>I68*1*2+J68</f>
        <v>3.9</v>
      </c>
      <c r="L68" s="15">
        <f>(J68+K68)*I68/2</f>
        <v>3.4425</v>
      </c>
      <c r="M68" s="15">
        <f>L68*E68*1.025</f>
        <v>126.3225375</v>
      </c>
    </row>
    <row r="69" spans="2:13">
      <c r="B69" s="6" t="s">
        <v>83</v>
      </c>
      <c r="C69" s="6" t="s">
        <v>17</v>
      </c>
      <c r="D69" s="6" t="s">
        <v>84</v>
      </c>
      <c r="E69" s="42"/>
      <c r="F69" s="42"/>
      <c r="G69" s="5"/>
      <c r="H69" s="5"/>
      <c r="I69" s="5"/>
      <c r="J69" s="42"/>
      <c r="K69" s="15"/>
      <c r="L69" s="15"/>
      <c r="M69" s="15"/>
    </row>
    <row r="70" spans="2:13">
      <c r="B70" s="6"/>
      <c r="C70" s="6"/>
      <c r="D70" s="6"/>
      <c r="E70" s="40">
        <v>40</v>
      </c>
      <c r="F70" s="40" t="s">
        <v>19</v>
      </c>
      <c r="G70" s="5">
        <f>(20.04+19.92)/2-1.48</f>
        <v>18.5</v>
      </c>
      <c r="H70" s="5">
        <f>17.8-0.15-0.05</f>
        <v>17.6</v>
      </c>
      <c r="I70" s="5">
        <f>0.5+0.15+0.7</f>
        <v>1.35</v>
      </c>
      <c r="J70" s="40">
        <f>0.4+0.05*2+0.35*2</f>
        <v>1.2</v>
      </c>
      <c r="K70" s="15">
        <f>I70*1*2+J70</f>
        <v>3.9</v>
      </c>
      <c r="L70" s="15">
        <f>(J70+K70)*I70/2</f>
        <v>3.4425</v>
      </c>
      <c r="M70" s="15">
        <f>L70*E70*1.025</f>
        <v>141.1425</v>
      </c>
    </row>
    <row r="71" ht="14.4" customHeight="1" spans="2:13">
      <c r="B71" s="6" t="s">
        <v>85</v>
      </c>
      <c r="C71" s="6" t="s">
        <v>17</v>
      </c>
      <c r="D71" s="6" t="s">
        <v>86</v>
      </c>
      <c r="E71" s="42"/>
      <c r="F71" s="42"/>
      <c r="G71" s="5"/>
      <c r="H71" s="5"/>
      <c r="I71" s="5"/>
      <c r="J71" s="42"/>
      <c r="K71" s="15"/>
      <c r="L71" s="15"/>
      <c r="M71" s="15"/>
    </row>
    <row r="72" ht="14.4" customHeight="1" spans="2:13">
      <c r="B72" s="6"/>
      <c r="C72" s="6"/>
      <c r="D72" s="6"/>
      <c r="E72" s="40">
        <v>40.9</v>
      </c>
      <c r="F72" s="40" t="s">
        <v>19</v>
      </c>
      <c r="G72" s="5">
        <f>(19.92+19.8)/2-1.48</f>
        <v>18.38</v>
      </c>
      <c r="H72" s="5">
        <f>17.86-0.15-0.05</f>
        <v>17.66</v>
      </c>
      <c r="I72" s="5">
        <f>0.5+0.15+0.7</f>
        <v>1.35</v>
      </c>
      <c r="J72" s="40">
        <f>0.4+0.05*2+0.35*2</f>
        <v>1.2</v>
      </c>
      <c r="K72" s="15">
        <f>I72*1*2+J72</f>
        <v>3.9</v>
      </c>
      <c r="L72" s="15">
        <f>(J72+K72)*I72/2</f>
        <v>3.4425</v>
      </c>
      <c r="M72" s="15">
        <f>L72*E72*1.025</f>
        <v>144.31820625</v>
      </c>
    </row>
    <row r="73" ht="14.4" customHeight="1" spans="2:13">
      <c r="B73" s="6" t="s">
        <v>87</v>
      </c>
      <c r="C73" s="6" t="s">
        <v>17</v>
      </c>
      <c r="D73" s="6" t="s">
        <v>88</v>
      </c>
      <c r="E73" s="42"/>
      <c r="F73" s="42"/>
      <c r="G73" s="5"/>
      <c r="H73" s="5"/>
      <c r="I73" s="5"/>
      <c r="J73" s="42"/>
      <c r="K73" s="15"/>
      <c r="L73" s="15"/>
      <c r="M73" s="15"/>
    </row>
    <row r="74" ht="14.4" customHeight="1" spans="2:13">
      <c r="B74" s="6"/>
      <c r="C74" s="6"/>
      <c r="D74" s="6"/>
      <c r="E74" s="40">
        <v>40.6</v>
      </c>
      <c r="F74" s="40" t="s">
        <v>19</v>
      </c>
      <c r="G74" s="5">
        <f>(19.8+19.68)/2-1.48</f>
        <v>18.26</v>
      </c>
      <c r="H74" s="5">
        <f>17.92-0.15-0.05</f>
        <v>17.72</v>
      </c>
      <c r="I74" s="5">
        <f>0.5+0.15+0.7</f>
        <v>1.35</v>
      </c>
      <c r="J74" s="40">
        <f>0.4+0.05*2+0.35*2</f>
        <v>1.2</v>
      </c>
      <c r="K74" s="15">
        <f>I74*1*2+J74</f>
        <v>3.9</v>
      </c>
      <c r="L74" s="15">
        <f>(J74+K74)*I74/2</f>
        <v>3.4425</v>
      </c>
      <c r="M74" s="15">
        <f>L74*E74*1.025</f>
        <v>143.2596375</v>
      </c>
    </row>
    <row r="75" ht="12.45" customHeight="1" spans="2:13">
      <c r="B75" s="6" t="s">
        <v>89</v>
      </c>
      <c r="C75" s="6" t="s">
        <v>17</v>
      </c>
      <c r="D75" s="6" t="s">
        <v>90</v>
      </c>
      <c r="E75" s="42"/>
      <c r="F75" s="42"/>
      <c r="G75" s="5"/>
      <c r="H75" s="5"/>
      <c r="I75" s="5"/>
      <c r="J75" s="42"/>
      <c r="K75" s="15"/>
      <c r="L75" s="15"/>
      <c r="M75" s="15"/>
    </row>
    <row r="76" ht="12.45" customHeight="1" spans="2:13">
      <c r="B76" s="6"/>
      <c r="C76" s="6"/>
      <c r="D76" s="6"/>
      <c r="E76" s="40">
        <v>25.8</v>
      </c>
      <c r="F76" s="40" t="s">
        <v>19</v>
      </c>
      <c r="G76" s="5">
        <f>(19.68+19.58)/2-1.48</f>
        <v>18.15</v>
      </c>
      <c r="H76" s="5">
        <f>(17.95+18)/2-0.15-0.05</f>
        <v>17.775</v>
      </c>
      <c r="I76" s="5">
        <f>0.5+0.15+0.7</f>
        <v>1.35</v>
      </c>
      <c r="J76" s="40">
        <f>0.4+0.05*2+0.35*2</f>
        <v>1.2</v>
      </c>
      <c r="K76" s="15">
        <f>I76*1*2+J76</f>
        <v>3.9</v>
      </c>
      <c r="L76" s="15">
        <f>(J76+K76)*I76/2</f>
        <v>3.4425</v>
      </c>
      <c r="M76" s="15">
        <f>L76*E76*1.025</f>
        <v>91.0369125</v>
      </c>
    </row>
    <row r="77" ht="12.45" customHeight="1" spans="2:13">
      <c r="B77" s="6" t="s">
        <v>91</v>
      </c>
      <c r="C77" s="6" t="s">
        <v>17</v>
      </c>
      <c r="D77" s="6" t="s">
        <v>92</v>
      </c>
      <c r="E77" s="42"/>
      <c r="F77" s="42"/>
      <c r="G77" s="5"/>
      <c r="H77" s="5"/>
      <c r="I77" s="5"/>
      <c r="J77" s="42"/>
      <c r="K77" s="15"/>
      <c r="L77" s="15"/>
      <c r="M77" s="15"/>
    </row>
    <row r="78" ht="12.45" customHeight="1" spans="2:13">
      <c r="B78" s="6"/>
      <c r="C78" s="6"/>
      <c r="D78" s="6"/>
      <c r="E78" s="6"/>
      <c r="F78" s="6"/>
      <c r="G78" s="5"/>
      <c r="H78" s="42"/>
      <c r="I78" s="64"/>
      <c r="J78" s="64"/>
      <c r="K78" s="64"/>
      <c r="L78" s="64"/>
      <c r="M78" s="64"/>
    </row>
    <row r="79" ht="12.45" customHeight="1" spans="2:13">
      <c r="B79" s="6"/>
      <c r="C79" s="6"/>
      <c r="D79" s="6"/>
      <c r="E79" s="6">
        <f>SUM(E5:E78)</f>
        <v>1242.22</v>
      </c>
      <c r="F79" s="40"/>
      <c r="G79" s="40"/>
      <c r="H79" s="40"/>
      <c r="I79" s="65"/>
      <c r="J79" s="65"/>
      <c r="K79" s="65"/>
      <c r="L79" s="65"/>
      <c r="M79" s="66"/>
    </row>
    <row r="80" ht="12.45" customHeight="1" spans="2:13">
      <c r="B80" s="6"/>
      <c r="C80" s="6"/>
      <c r="D80" s="6"/>
      <c r="E80" s="6"/>
      <c r="F80" s="5"/>
      <c r="G80" s="42"/>
      <c r="H80" s="42"/>
      <c r="I80" s="64"/>
      <c r="J80" s="64"/>
      <c r="K80" s="64"/>
      <c r="L80" s="64"/>
      <c r="M80" s="64"/>
    </row>
    <row r="81" ht="12.45" customHeight="1" spans="2:13">
      <c r="B81" s="9" t="s">
        <v>93</v>
      </c>
      <c r="C81" s="10" t="s">
        <v>94</v>
      </c>
      <c r="D81" s="6"/>
      <c r="E81" s="6"/>
      <c r="F81" s="5"/>
      <c r="G81" s="40"/>
      <c r="H81" s="40"/>
      <c r="I81" s="65"/>
      <c r="J81" s="65"/>
      <c r="K81" s="65"/>
      <c r="L81" s="65"/>
      <c r="M81" s="66"/>
    </row>
    <row r="82" spans="2:13">
      <c r="B82" s="9"/>
      <c r="C82" s="10"/>
      <c r="D82" s="6"/>
      <c r="E82" s="6"/>
      <c r="F82" s="5"/>
      <c r="G82" s="42"/>
      <c r="H82" s="42"/>
      <c r="I82" s="64"/>
      <c r="J82" s="64"/>
      <c r="K82" s="64"/>
      <c r="L82" s="64"/>
      <c r="M82" s="64"/>
    </row>
    <row r="83" ht="12.45" customHeight="1" spans="2:13">
      <c r="B83" s="10"/>
      <c r="C83" s="10" t="s">
        <v>19</v>
      </c>
      <c r="D83" s="56" t="s">
        <v>95</v>
      </c>
      <c r="E83" s="56" t="s">
        <v>96</v>
      </c>
      <c r="F83" s="5"/>
      <c r="G83" s="40"/>
      <c r="H83" s="40"/>
      <c r="I83" s="65"/>
      <c r="J83" s="65"/>
      <c r="K83" s="65"/>
      <c r="L83" s="65"/>
      <c r="M83" s="65"/>
    </row>
    <row r="84" spans="2:13">
      <c r="B84" s="10"/>
      <c r="C84" s="10"/>
      <c r="D84" s="56"/>
      <c r="E84" s="56"/>
      <c r="F84" s="5"/>
      <c r="G84" s="42"/>
      <c r="H84" s="42"/>
      <c r="I84" s="64"/>
      <c r="J84" s="64"/>
      <c r="K84" s="64"/>
      <c r="L84" s="64"/>
      <c r="M84" s="64"/>
    </row>
    <row r="85" ht="12.45" customHeight="1" spans="2:13">
      <c r="B85" s="10" t="s">
        <v>97</v>
      </c>
      <c r="C85" s="14">
        <f>28*0.7+0.35*5-E85-D85</f>
        <v>14.7</v>
      </c>
      <c r="D85" s="14">
        <f>0.7*5+0.35*3</f>
        <v>4.55</v>
      </c>
      <c r="E85" s="14">
        <f>0.7*3</f>
        <v>2.1</v>
      </c>
      <c r="F85" s="5"/>
      <c r="G85" s="40"/>
      <c r="H85" s="40"/>
      <c r="I85" s="65"/>
      <c r="J85" s="65"/>
      <c r="K85" s="65"/>
      <c r="L85" s="65"/>
      <c r="M85" s="65"/>
    </row>
    <row r="86" ht="12.45" customHeight="1" spans="2:13">
      <c r="B86" s="10"/>
      <c r="C86" s="14"/>
      <c r="D86" s="14"/>
      <c r="E86" s="14"/>
      <c r="F86" s="5"/>
      <c r="G86" s="42"/>
      <c r="H86" s="42"/>
      <c r="I86" s="64"/>
      <c r="J86" s="64"/>
      <c r="K86" s="64"/>
      <c r="L86" s="64"/>
      <c r="M86" s="64"/>
    </row>
    <row r="87" ht="12.45" customHeight="1" spans="2:13">
      <c r="B87" s="10" t="s">
        <v>98</v>
      </c>
      <c r="C87" s="14">
        <f>E5+E7+E9+E11+E13+E15+E17+E42+E44+E46+E48+E50+E52+E54+E56+E60+E68+E70+E72+E74+E76-C85</f>
        <v>833.05</v>
      </c>
      <c r="D87" s="14">
        <f>E22+E24+E32+E34+E36+E38-D85</f>
        <v>262.85</v>
      </c>
      <c r="E87" s="14">
        <f>E26+E28+E30-E85</f>
        <v>124.97</v>
      </c>
      <c r="F87" s="5"/>
      <c r="G87" s="40"/>
      <c r="H87" s="40"/>
      <c r="I87" s="65"/>
      <c r="J87" s="65"/>
      <c r="K87" s="65"/>
      <c r="L87" s="65"/>
      <c r="M87" s="65"/>
    </row>
    <row r="88" ht="12.45" customHeight="1" spans="2:13">
      <c r="B88" s="10"/>
      <c r="C88" s="14"/>
      <c r="D88" s="14"/>
      <c r="E88" s="14"/>
      <c r="F88" s="5"/>
      <c r="G88" s="42"/>
      <c r="H88" s="42"/>
      <c r="I88" s="64"/>
      <c r="J88" s="64"/>
      <c r="K88" s="64"/>
      <c r="L88" s="64"/>
      <c r="M88" s="64"/>
    </row>
    <row r="89" ht="12.45" customHeight="1" spans="2:13">
      <c r="B89" s="6"/>
      <c r="C89" s="14"/>
      <c r="D89" s="14"/>
      <c r="E89" s="14"/>
      <c r="F89" s="5"/>
      <c r="G89" s="40"/>
      <c r="H89" s="40"/>
      <c r="I89" s="65"/>
      <c r="J89" s="65"/>
      <c r="K89" s="65"/>
      <c r="L89" s="65"/>
      <c r="M89" s="67">
        <f>SUM(M5:M88)</f>
        <v>11850.4563720188</v>
      </c>
    </row>
    <row r="90" ht="12.45" customHeight="1" spans="2:13">
      <c r="B90" s="6"/>
      <c r="C90" s="14"/>
      <c r="D90" s="14"/>
      <c r="E90" s="14"/>
      <c r="F90" s="5"/>
      <c r="G90" s="42"/>
      <c r="H90" s="42"/>
      <c r="I90" s="64"/>
      <c r="J90" s="64"/>
      <c r="K90" s="64"/>
      <c r="L90" s="64"/>
      <c r="M90" s="68"/>
    </row>
    <row r="91" ht="38" customHeight="1" spans="2:13">
      <c r="B91" s="9" t="s">
        <v>99</v>
      </c>
      <c r="C91" s="14">
        <f>M5+M7+M9+M11+M13+M15+M17+M42+M44+M46+M48+M50+M52+M54+M56+M60+M68+M70+M72+M74+M76</f>
        <v>4842.42459520625</v>
      </c>
      <c r="D91" s="14">
        <f>M22+M24+M32+M34+M36+M38</f>
        <v>5194.4968168125</v>
      </c>
      <c r="E91" s="14">
        <f>M26+M28+M30</f>
        <v>1813.53496</v>
      </c>
      <c r="F91" s="5"/>
      <c r="G91" s="42"/>
      <c r="H91" s="42"/>
      <c r="I91" s="64"/>
      <c r="J91" s="64"/>
      <c r="K91" s="64"/>
      <c r="L91" s="64"/>
      <c r="M91" s="68"/>
    </row>
    <row r="92" ht="30" customHeight="1" spans="2:13">
      <c r="B92" s="11" t="s">
        <v>100</v>
      </c>
      <c r="C92" s="15">
        <f>1.2*0.15*C87</f>
        <v>149.949</v>
      </c>
      <c r="D92" s="15">
        <f>1.3*0.15*D87</f>
        <v>51.25575</v>
      </c>
      <c r="E92" s="15">
        <f>1.3*0.15*E87</f>
        <v>24.36915</v>
      </c>
      <c r="F92" s="57"/>
      <c r="G92" s="57"/>
      <c r="H92" s="57"/>
      <c r="I92" s="57"/>
      <c r="J92" s="57"/>
      <c r="K92" s="57"/>
      <c r="L92" s="57"/>
      <c r="M92" s="57"/>
    </row>
    <row r="93" ht="30" customHeight="1" spans="2:13">
      <c r="B93" s="11" t="s">
        <v>101</v>
      </c>
      <c r="C93" s="15">
        <f>(1.2+1.15*1*2)*1.15/2*C87-C92-3.14*0.25*0.25*C87</f>
        <v>1363.0780625</v>
      </c>
      <c r="D93" s="15">
        <f>(1.3+1.25*1*2)*1.25/2*D87-D92-3.14*0.3*0.3*D87</f>
        <v>498.73159</v>
      </c>
      <c r="E93" s="15">
        <f>(1.3+1.19*1*2)*1.19/2*(E87-49.9-0.7)-E92-3.14*0.27*0.27*(E87-49.9-0.7)</f>
        <v>121.44766278</v>
      </c>
      <c r="F93" s="57"/>
      <c r="G93" s="57"/>
      <c r="H93" s="57"/>
      <c r="I93" s="57"/>
      <c r="J93" s="57"/>
      <c r="K93" s="57"/>
      <c r="L93" s="57"/>
      <c r="M93" s="57"/>
    </row>
    <row r="94" ht="30" customHeight="1" spans="2:13">
      <c r="B94" s="12" t="s">
        <v>102</v>
      </c>
      <c r="C94" s="15"/>
      <c r="D94" s="15"/>
      <c r="E94" s="15">
        <f>((0.9+1.3)*(0.54+0.2+0.15))/2*(49.9-0.7)-3.14*0.27*0.27*(49.9-0.7)</f>
        <v>36.9046248</v>
      </c>
      <c r="F94" s="57"/>
      <c r="G94" s="57"/>
      <c r="H94" s="57"/>
      <c r="I94" s="57"/>
      <c r="J94" s="57"/>
      <c r="K94" s="57"/>
      <c r="L94" s="57"/>
      <c r="M94" s="57"/>
    </row>
    <row r="95" ht="30" customHeight="1" spans="2:13">
      <c r="B95" s="11" t="s">
        <v>103</v>
      </c>
      <c r="C95" s="58">
        <f>C91-C92-C93-3.14*0.24*0.24*C87</f>
        <v>3178.72877750625</v>
      </c>
      <c r="D95" s="59" t="s">
        <v>104</v>
      </c>
      <c r="E95" s="60"/>
      <c r="F95" s="57"/>
      <c r="G95" s="57"/>
      <c r="H95" s="57"/>
      <c r="I95" s="57"/>
      <c r="J95" s="57"/>
      <c r="K95" s="57"/>
      <c r="L95" s="57"/>
      <c r="M95" s="57"/>
    </row>
    <row r="96" ht="30" customHeight="1" spans="2:13">
      <c r="B96" s="11" t="s">
        <v>105</v>
      </c>
      <c r="C96" s="58">
        <f>D96-C95</f>
        <v>6365.39348475255</v>
      </c>
      <c r="D96" s="61">
        <f>M89-C92-D92-E92-C93-D93-E93-E94-(3.14*0.25*0.25*C87-3.14*0.3*0.3*D87-3.14*0.27*0.27*E87)</f>
        <v>9544.1222622588</v>
      </c>
      <c r="E96" s="62"/>
      <c r="F96" s="57"/>
      <c r="G96" s="57"/>
      <c r="H96" s="57"/>
      <c r="I96" s="57"/>
      <c r="J96" s="57"/>
      <c r="K96" s="57"/>
      <c r="L96" s="57"/>
      <c r="M96" s="57"/>
    </row>
    <row r="97" ht="30" customHeight="1" spans="2:13">
      <c r="B97" s="63"/>
      <c r="C97" s="58"/>
      <c r="D97" s="61"/>
      <c r="E97" s="62"/>
      <c r="F97" s="57"/>
      <c r="G97" s="57"/>
      <c r="H97" s="57"/>
      <c r="I97" s="57"/>
      <c r="J97" s="57"/>
      <c r="K97" s="57"/>
      <c r="L97" s="57"/>
      <c r="M97" s="57"/>
    </row>
  </sheetData>
  <autoFilter ref="B3:M96">
    <extLst/>
  </autoFilter>
  <mergeCells count="480">
    <mergeCell ref="B1:M1"/>
    <mergeCell ref="D95:E95"/>
    <mergeCell ref="D96:E96"/>
    <mergeCell ref="D97:E97"/>
    <mergeCell ref="B4:B5"/>
    <mergeCell ref="B6:B7"/>
    <mergeCell ref="B8:B9"/>
    <mergeCell ref="B10:B11"/>
    <mergeCell ref="B12:B13"/>
    <mergeCell ref="B14:B15"/>
    <mergeCell ref="B16:B17"/>
    <mergeCell ref="B18:B19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C4:C5"/>
    <mergeCell ref="C6:C7"/>
    <mergeCell ref="C8:C9"/>
    <mergeCell ref="C10:C11"/>
    <mergeCell ref="C12:C13"/>
    <mergeCell ref="C14:C15"/>
    <mergeCell ref="C16:C17"/>
    <mergeCell ref="C18:C19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D4:D5"/>
    <mergeCell ref="D6:D7"/>
    <mergeCell ref="D8:D9"/>
    <mergeCell ref="D10:D11"/>
    <mergeCell ref="D12:D13"/>
    <mergeCell ref="D14:D15"/>
    <mergeCell ref="D16:D17"/>
    <mergeCell ref="D18:D19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D65:D66"/>
    <mergeCell ref="D67:D68"/>
    <mergeCell ref="D69:D70"/>
    <mergeCell ref="D71:D72"/>
    <mergeCell ref="D73:D74"/>
    <mergeCell ref="D75:D76"/>
    <mergeCell ref="D77:D78"/>
    <mergeCell ref="D79:D80"/>
    <mergeCell ref="D81:D82"/>
    <mergeCell ref="D83:D84"/>
    <mergeCell ref="D85:D86"/>
    <mergeCell ref="D87:D88"/>
    <mergeCell ref="D89:D90"/>
    <mergeCell ref="E5:E6"/>
    <mergeCell ref="E7:E8"/>
    <mergeCell ref="E9:E10"/>
    <mergeCell ref="E11:E12"/>
    <mergeCell ref="E13:E14"/>
    <mergeCell ref="E15:E16"/>
    <mergeCell ref="E17:E18"/>
    <mergeCell ref="E19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E62:E65"/>
    <mergeCell ref="E66:E67"/>
    <mergeCell ref="E68:E69"/>
    <mergeCell ref="E70:E71"/>
    <mergeCell ref="E72:E73"/>
    <mergeCell ref="E74:E75"/>
    <mergeCell ref="E76:E77"/>
    <mergeCell ref="E79:E80"/>
    <mergeCell ref="E81:E82"/>
    <mergeCell ref="E83:E84"/>
    <mergeCell ref="E85:E86"/>
    <mergeCell ref="E87:E88"/>
    <mergeCell ref="E89:E90"/>
    <mergeCell ref="F5:F6"/>
    <mergeCell ref="F7:F8"/>
    <mergeCell ref="F9:F10"/>
    <mergeCell ref="F11:F12"/>
    <mergeCell ref="F13:F14"/>
    <mergeCell ref="F15:F16"/>
    <mergeCell ref="F17:F18"/>
    <mergeCell ref="F19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60:F61"/>
    <mergeCell ref="F62:F63"/>
    <mergeCell ref="F64:F65"/>
    <mergeCell ref="F66:F67"/>
    <mergeCell ref="F68:F69"/>
    <mergeCell ref="F70:F71"/>
    <mergeCell ref="F72:F73"/>
    <mergeCell ref="F74:F75"/>
    <mergeCell ref="F76:F77"/>
    <mergeCell ref="F80:F81"/>
    <mergeCell ref="F82:F83"/>
    <mergeCell ref="F84:F85"/>
    <mergeCell ref="F86:F87"/>
    <mergeCell ref="F88:F89"/>
    <mergeCell ref="G5:G6"/>
    <mergeCell ref="G7:G8"/>
    <mergeCell ref="G9:G10"/>
    <mergeCell ref="G11:G12"/>
    <mergeCell ref="G13:G14"/>
    <mergeCell ref="G15:G16"/>
    <mergeCell ref="G17:G18"/>
    <mergeCell ref="G19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G62:G63"/>
    <mergeCell ref="G64:G65"/>
    <mergeCell ref="G66:G67"/>
    <mergeCell ref="G68:G69"/>
    <mergeCell ref="G70:G71"/>
    <mergeCell ref="G72:G73"/>
    <mergeCell ref="G74:G75"/>
    <mergeCell ref="G76:G77"/>
    <mergeCell ref="G79:G80"/>
    <mergeCell ref="G81:G82"/>
    <mergeCell ref="G83:G84"/>
    <mergeCell ref="G85:G86"/>
    <mergeCell ref="G87:G88"/>
    <mergeCell ref="G89:G90"/>
    <mergeCell ref="H5:H6"/>
    <mergeCell ref="H7:H8"/>
    <mergeCell ref="H9:H10"/>
    <mergeCell ref="H11:H12"/>
    <mergeCell ref="H13:H14"/>
    <mergeCell ref="H15:H16"/>
    <mergeCell ref="H17:H18"/>
    <mergeCell ref="H19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H62:H63"/>
    <mergeCell ref="H64:H65"/>
    <mergeCell ref="H66:H67"/>
    <mergeCell ref="H68:H69"/>
    <mergeCell ref="H70:H71"/>
    <mergeCell ref="H72:H73"/>
    <mergeCell ref="H74:H75"/>
    <mergeCell ref="H76:H77"/>
    <mergeCell ref="H79:H80"/>
    <mergeCell ref="H81:H82"/>
    <mergeCell ref="H83:H84"/>
    <mergeCell ref="H85:H86"/>
    <mergeCell ref="H87:H88"/>
    <mergeCell ref="H89:H90"/>
    <mergeCell ref="I5:I6"/>
    <mergeCell ref="I7:I8"/>
    <mergeCell ref="I9:I10"/>
    <mergeCell ref="I11:I12"/>
    <mergeCell ref="I13:I14"/>
    <mergeCell ref="I15:I16"/>
    <mergeCell ref="I17:I18"/>
    <mergeCell ref="I19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I62:I63"/>
    <mergeCell ref="I64:I65"/>
    <mergeCell ref="I66:I67"/>
    <mergeCell ref="I68:I69"/>
    <mergeCell ref="I70:I71"/>
    <mergeCell ref="I72:I73"/>
    <mergeCell ref="I74:I75"/>
    <mergeCell ref="I76:I77"/>
    <mergeCell ref="J5:J6"/>
    <mergeCell ref="J7:J8"/>
    <mergeCell ref="J9:J10"/>
    <mergeCell ref="J11:J12"/>
    <mergeCell ref="J13:J14"/>
    <mergeCell ref="J15:J16"/>
    <mergeCell ref="J17:J18"/>
    <mergeCell ref="J19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J62:J63"/>
    <mergeCell ref="J64:J65"/>
    <mergeCell ref="J66:J67"/>
    <mergeCell ref="J68:J69"/>
    <mergeCell ref="J70:J71"/>
    <mergeCell ref="J72:J73"/>
    <mergeCell ref="J74:J75"/>
    <mergeCell ref="J76:J77"/>
    <mergeCell ref="K5:K6"/>
    <mergeCell ref="K7:K8"/>
    <mergeCell ref="K9:K10"/>
    <mergeCell ref="K11:K12"/>
    <mergeCell ref="K13:K14"/>
    <mergeCell ref="K15:K16"/>
    <mergeCell ref="K17:K18"/>
    <mergeCell ref="K19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K62:K63"/>
    <mergeCell ref="K64:K65"/>
    <mergeCell ref="K66:K67"/>
    <mergeCell ref="K68:K69"/>
    <mergeCell ref="K70:K71"/>
    <mergeCell ref="K72:K73"/>
    <mergeCell ref="K74:K75"/>
    <mergeCell ref="K76:K77"/>
    <mergeCell ref="L5:L6"/>
    <mergeCell ref="L7:L8"/>
    <mergeCell ref="L9:L10"/>
    <mergeCell ref="L11:L12"/>
    <mergeCell ref="L13:L14"/>
    <mergeCell ref="L15:L16"/>
    <mergeCell ref="L17:L18"/>
    <mergeCell ref="L19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L62:L63"/>
    <mergeCell ref="L64:L65"/>
    <mergeCell ref="L66:L67"/>
    <mergeCell ref="L68:L69"/>
    <mergeCell ref="L70:L71"/>
    <mergeCell ref="L72:L73"/>
    <mergeCell ref="L74:L75"/>
    <mergeCell ref="L76:L77"/>
    <mergeCell ref="M5:M6"/>
    <mergeCell ref="M7:M8"/>
    <mergeCell ref="M9:M10"/>
    <mergeCell ref="M11:M12"/>
    <mergeCell ref="M13:M14"/>
    <mergeCell ref="M15:M16"/>
    <mergeCell ref="M17:M18"/>
    <mergeCell ref="M19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M62:M63"/>
    <mergeCell ref="M64:M65"/>
    <mergeCell ref="M66:M67"/>
    <mergeCell ref="M68:M69"/>
    <mergeCell ref="M70:M71"/>
    <mergeCell ref="M72:M73"/>
    <mergeCell ref="M74:M75"/>
    <mergeCell ref="M76:M77"/>
    <mergeCell ref="M79:M80"/>
    <mergeCell ref="M89:M90"/>
  </mergeCells>
  <pageMargins left="0.708661417322835" right="0.708661417322835" top="0.748031496062992" bottom="0.748031496062992" header="0.31496062992126" footer="0.31496062992126"/>
  <pageSetup paperSize="9" scale="8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XFC80"/>
  <sheetViews>
    <sheetView workbookViewId="0">
      <pane ySplit="2" topLeftCell="A3" activePane="bottomLeft" state="frozen"/>
      <selection/>
      <selection pane="bottomLeft" activeCell="B2" sqref="B2"/>
    </sheetView>
  </sheetViews>
  <sheetFormatPr defaultColWidth="9" defaultRowHeight="14.25"/>
  <cols>
    <col min="1" max="1" width="4.38333333333333" style="1" customWidth="1"/>
    <col min="2" max="2" width="10" style="1" customWidth="1"/>
    <col min="3" max="3" width="10.25" style="1" customWidth="1"/>
    <col min="4" max="4" width="10.5" style="1" customWidth="1"/>
    <col min="5" max="5" width="10.125" style="21" customWidth="1"/>
    <col min="6" max="6" width="8.25" style="21" customWidth="1"/>
    <col min="7" max="7" width="7.875" style="1" customWidth="1"/>
    <col min="8" max="8" width="9.875" style="1" customWidth="1"/>
    <col min="9" max="9" width="9.625" style="1" customWidth="1"/>
    <col min="10" max="10" width="9.25" style="1" customWidth="1"/>
    <col min="11" max="11" width="9.375" style="1" customWidth="1"/>
    <col min="12" max="12" width="9.125" style="1" customWidth="1"/>
    <col min="13" max="13" width="8.875" style="1" customWidth="1"/>
    <col min="14" max="14" width="9.125" style="1" customWidth="1"/>
    <col min="15" max="15" width="9.375" style="1" customWidth="1"/>
    <col min="16" max="16" width="8.25" style="1" customWidth="1"/>
    <col min="17" max="17" width="9.375" style="1" customWidth="1"/>
    <col min="18" max="18" width="9.625" style="1" customWidth="1"/>
    <col min="19" max="19" width="8.75" style="1" customWidth="1"/>
    <col min="20" max="16374" width="8.88333333333333" style="1"/>
    <col min="16375" max="16382" width="9" style="1"/>
    <col min="16384" max="16384" width="9" style="1"/>
  </cols>
  <sheetData>
    <row r="1" s="1" customFormat="1" ht="43" customHeight="1" spans="2:16383">
      <c r="B1" s="22" t="s">
        <v>106</v>
      </c>
      <c r="C1" s="23"/>
      <c r="D1" s="23"/>
      <c r="E1" s="24"/>
      <c r="F1" s="24"/>
      <c r="G1" s="23"/>
      <c r="H1" s="23"/>
      <c r="I1" s="23"/>
      <c r="J1" s="23"/>
      <c r="K1" s="23"/>
      <c r="L1" s="23"/>
      <c r="M1" s="23"/>
      <c r="N1" s="23"/>
      <c r="R1" s="32" t="s">
        <v>107</v>
      </c>
      <c r="XFC1"/>
    </row>
    <row r="2" s="1" customFormat="1" ht="44.4" customHeight="1" spans="2:16383">
      <c r="B2" s="9" t="s">
        <v>1</v>
      </c>
      <c r="C2" s="9" t="s">
        <v>2</v>
      </c>
      <c r="D2" s="9" t="s">
        <v>3</v>
      </c>
      <c r="E2" s="9" t="s">
        <v>108</v>
      </c>
      <c r="F2" s="9" t="s">
        <v>4</v>
      </c>
      <c r="G2" s="9" t="s">
        <v>109</v>
      </c>
      <c r="H2" s="9" t="s">
        <v>6</v>
      </c>
      <c r="I2" s="9" t="s">
        <v>7</v>
      </c>
      <c r="J2" s="9" t="s">
        <v>8</v>
      </c>
      <c r="K2" s="9" t="s">
        <v>9</v>
      </c>
      <c r="L2" s="9" t="s">
        <v>10</v>
      </c>
      <c r="M2" s="9" t="s">
        <v>11</v>
      </c>
      <c r="N2" s="9" t="s">
        <v>12</v>
      </c>
      <c r="O2" s="26" t="s">
        <v>110</v>
      </c>
      <c r="P2" s="26" t="s">
        <v>111</v>
      </c>
      <c r="Q2" s="33" t="s">
        <v>112</v>
      </c>
      <c r="R2" s="33" t="s">
        <v>101</v>
      </c>
      <c r="S2" s="26" t="s">
        <v>113</v>
      </c>
      <c r="XFC2"/>
    </row>
    <row r="3" s="1" customFormat="1" ht="15.75" customHeight="1" spans="2:16383">
      <c r="B3" s="5"/>
      <c r="C3" s="5" t="s">
        <v>114</v>
      </c>
      <c r="D3" s="5"/>
      <c r="E3" s="5" t="s">
        <v>114</v>
      </c>
      <c r="F3" s="5" t="s">
        <v>13</v>
      </c>
      <c r="G3" s="5" t="s">
        <v>13</v>
      </c>
      <c r="H3" s="5" t="s">
        <v>13</v>
      </c>
      <c r="I3" s="5" t="s">
        <v>13</v>
      </c>
      <c r="J3" s="5" t="s">
        <v>13</v>
      </c>
      <c r="K3" s="5"/>
      <c r="L3" s="5" t="s">
        <v>13</v>
      </c>
      <c r="M3" s="5" t="s">
        <v>115</v>
      </c>
      <c r="N3" s="5" t="s">
        <v>116</v>
      </c>
      <c r="O3" s="5" t="s">
        <v>117</v>
      </c>
      <c r="P3" s="5" t="s">
        <v>118</v>
      </c>
      <c r="Q3" s="5" t="s">
        <v>117</v>
      </c>
      <c r="R3" s="5" t="s">
        <v>117</v>
      </c>
      <c r="S3" s="5" t="s">
        <v>117</v>
      </c>
      <c r="XFC3"/>
    </row>
    <row r="4" s="1" customFormat="1" ht="12.45" customHeight="1" spans="2:16383">
      <c r="B4" s="15" t="s">
        <v>119</v>
      </c>
      <c r="C4" s="14" t="s">
        <v>120</v>
      </c>
      <c r="D4" s="14" t="s">
        <v>121</v>
      </c>
      <c r="E4" s="14"/>
      <c r="F4" s="14"/>
      <c r="G4" s="14"/>
      <c r="H4" s="14"/>
      <c r="I4" s="14"/>
      <c r="J4" s="14"/>
      <c r="K4" s="27"/>
      <c r="L4" s="28"/>
      <c r="M4" s="29"/>
      <c r="N4" s="29"/>
      <c r="O4" s="29"/>
      <c r="P4" s="29"/>
      <c r="Q4" s="29"/>
      <c r="R4" s="29"/>
      <c r="S4" s="29"/>
      <c r="XFC4"/>
    </row>
    <row r="5" s="1" customFormat="1" ht="12.45" customHeight="1" spans="2:16383">
      <c r="B5" s="15"/>
      <c r="C5" s="14"/>
      <c r="D5" s="14"/>
      <c r="E5" s="14" t="s">
        <v>122</v>
      </c>
      <c r="F5" s="15">
        <f>56</f>
        <v>56</v>
      </c>
      <c r="G5" s="15">
        <f>F5-1.2</f>
        <v>54.8</v>
      </c>
      <c r="H5" s="15">
        <f>(19.6+19.75)/2-1.48</f>
        <v>18.195</v>
      </c>
      <c r="I5" s="15">
        <f>(17.6+17.75)/2-0.08-0.16-0.15</f>
        <v>17.285</v>
      </c>
      <c r="J5" s="30">
        <f>0.8+0.08*2+0.16+0.15+0.7</f>
        <v>1.97</v>
      </c>
      <c r="K5" s="15">
        <f>0.8+0.16+0.45*2</f>
        <v>1.86</v>
      </c>
      <c r="L5" s="15">
        <f>K5+J5*1*2</f>
        <v>5.8</v>
      </c>
      <c r="M5" s="15">
        <f>(K5+L5)*J5/2</f>
        <v>7.5451</v>
      </c>
      <c r="N5" s="15">
        <f>M5*F5*1.025</f>
        <v>433.08874</v>
      </c>
      <c r="O5" s="15">
        <f>0.457*G5</f>
        <v>25.0436</v>
      </c>
      <c r="P5" s="15">
        <f>(0.16+0.48)*G5*2</f>
        <v>70.144</v>
      </c>
      <c r="Q5" s="15">
        <f>(K5*2+0.3)*0.15/2*G5</f>
        <v>16.5222</v>
      </c>
      <c r="R5" s="15">
        <f>((K5+0.3)*2+(0.16+0.96+0.5)*1*2)*(0.16+0.96+0.5)*0.5*G5-O5-3.14*0.48*0.48*G5</f>
        <v>270.8842912</v>
      </c>
      <c r="S5" s="15">
        <f>N5-O5-Q5-R5-3.14*0.48*0.48*G5</f>
        <v>80.99326</v>
      </c>
      <c r="XFC5"/>
    </row>
    <row r="6" s="1" customFormat="1" ht="12.45" customHeight="1" spans="2:16383">
      <c r="B6" s="14" t="s">
        <v>123</v>
      </c>
      <c r="C6" s="14" t="s">
        <v>120</v>
      </c>
      <c r="D6" s="14" t="s">
        <v>124</v>
      </c>
      <c r="E6" s="14"/>
      <c r="F6" s="15"/>
      <c r="G6" s="15"/>
      <c r="H6" s="15"/>
      <c r="I6" s="15"/>
      <c r="J6" s="30"/>
      <c r="K6" s="15"/>
      <c r="L6" s="15"/>
      <c r="M6" s="15"/>
      <c r="N6" s="15"/>
      <c r="O6" s="15"/>
      <c r="P6" s="15"/>
      <c r="Q6" s="15"/>
      <c r="R6" s="15"/>
      <c r="S6" s="15"/>
      <c r="XFC6"/>
    </row>
    <row r="7" s="1" customFormat="1" ht="12.45" customHeight="1" spans="2:16383">
      <c r="B7" s="14"/>
      <c r="C7" s="14"/>
      <c r="D7" s="14"/>
      <c r="E7" s="14" t="s">
        <v>122</v>
      </c>
      <c r="F7" s="15">
        <v>50.1</v>
      </c>
      <c r="G7" s="15">
        <f>F7-1.2</f>
        <v>48.9</v>
      </c>
      <c r="H7" s="14">
        <f>(19.75+19.9)/2-1.48</f>
        <v>18.345</v>
      </c>
      <c r="I7" s="15">
        <f>(17.9+17.75)/2-0.08-0.16-0.15</f>
        <v>17.435</v>
      </c>
      <c r="J7" s="30">
        <f>0.8+0.08*2+0.16+0.15+0.7</f>
        <v>1.97</v>
      </c>
      <c r="K7" s="15">
        <f>0.8+0.16+0.45*2</f>
        <v>1.86</v>
      </c>
      <c r="L7" s="15">
        <f>K7+J7*1*2</f>
        <v>5.8</v>
      </c>
      <c r="M7" s="15">
        <f>(K7+L7)*J7/2</f>
        <v>7.5451</v>
      </c>
      <c r="N7" s="15">
        <f>M7*F7*1.025</f>
        <v>387.45974775</v>
      </c>
      <c r="O7" s="15">
        <f>0.457*G7</f>
        <v>22.3473</v>
      </c>
      <c r="P7" s="15">
        <f>(0.16+0.48)*G7*2</f>
        <v>62.592</v>
      </c>
      <c r="Q7" s="15">
        <f>(K7*2+0.3)*0.15/2*G7</f>
        <v>14.74335</v>
      </c>
      <c r="R7" s="15">
        <f>((K7+0.3)*2+(0.16+0.96+0.5)*1*2)*(0.16+0.96+0.5)*0.5*G7-O7-3.14*0.48*0.48*G7</f>
        <v>241.7197416</v>
      </c>
      <c r="S7" s="15">
        <f>N7-O7-Q7-R7-3.14*0.48*0.48*G7</f>
        <v>73.27235775</v>
      </c>
      <c r="XFC7"/>
    </row>
    <row r="8" s="1" customFormat="1" ht="12.45" customHeight="1" spans="2:16383">
      <c r="B8" s="14" t="s">
        <v>125</v>
      </c>
      <c r="C8" s="14" t="s">
        <v>120</v>
      </c>
      <c r="D8" s="14" t="s">
        <v>126</v>
      </c>
      <c r="E8" s="14"/>
      <c r="F8" s="15"/>
      <c r="G8" s="15"/>
      <c r="H8" s="14"/>
      <c r="I8" s="15"/>
      <c r="J8" s="30"/>
      <c r="K8" s="15"/>
      <c r="L8" s="15"/>
      <c r="M8" s="15"/>
      <c r="N8" s="15"/>
      <c r="O8" s="15"/>
      <c r="P8" s="15"/>
      <c r="Q8" s="15"/>
      <c r="R8" s="15"/>
      <c r="S8" s="15"/>
      <c r="XFC8"/>
    </row>
    <row r="9" s="1" customFormat="1" ht="12.45" customHeight="1" spans="2:16383">
      <c r="B9" s="14"/>
      <c r="C9" s="14"/>
      <c r="D9" s="14"/>
      <c r="E9" s="14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XFC9"/>
    </row>
    <row r="10" s="1" customFormat="1" ht="12.45" customHeight="1" spans="2:16383">
      <c r="B10" s="14"/>
      <c r="C10" s="14"/>
      <c r="D10" s="14"/>
      <c r="E10" s="14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XFC10"/>
    </row>
    <row r="11" s="1" customFormat="1" ht="12.45" customHeight="1" spans="2:16383">
      <c r="B11" s="14"/>
      <c r="C11" s="14"/>
      <c r="D11" s="14"/>
      <c r="E11" s="14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XFC11"/>
    </row>
    <row r="12" s="1" customFormat="1" ht="12.45" customHeight="1" spans="2:16383">
      <c r="B12" s="14" t="s">
        <v>127</v>
      </c>
      <c r="C12" s="14" t="s">
        <v>120</v>
      </c>
      <c r="D12" s="14" t="s">
        <v>128</v>
      </c>
      <c r="E12" s="14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XFC12"/>
    </row>
    <row r="13" s="1" customFormat="1" ht="12.45" customHeight="1" spans="2:16383">
      <c r="B13" s="14"/>
      <c r="C13" s="14"/>
      <c r="D13" s="14"/>
      <c r="E13" s="14" t="s">
        <v>122</v>
      </c>
      <c r="F13" s="15">
        <v>40</v>
      </c>
      <c r="G13" s="15">
        <f>F13-1.2</f>
        <v>38.8</v>
      </c>
      <c r="H13" s="15">
        <f>(19.9+19.76)/2-1.48</f>
        <v>18.35</v>
      </c>
      <c r="I13" s="15">
        <f>(17.03+16.95)/2-0.08-0.16-0.15</f>
        <v>16.6</v>
      </c>
      <c r="J13" s="30">
        <f t="shared" ref="J13:J17" si="0">0.8+0.08*2+0.16+0.15+0.7</f>
        <v>1.97</v>
      </c>
      <c r="K13" s="15">
        <f t="shared" ref="K13:K17" si="1">0.8+0.16+0.45*2</f>
        <v>1.86</v>
      </c>
      <c r="L13" s="15">
        <f t="shared" ref="L13:L17" si="2">K13+J13*1*2</f>
        <v>5.8</v>
      </c>
      <c r="M13" s="15">
        <f t="shared" ref="M13:M17" si="3">(K13+L13)*J13/2</f>
        <v>7.5451</v>
      </c>
      <c r="N13" s="15">
        <f t="shared" ref="N13:N17" si="4">M13*F13*1.025</f>
        <v>309.3491</v>
      </c>
      <c r="O13" s="15">
        <f>0.457*G13</f>
        <v>17.7316</v>
      </c>
      <c r="P13" s="15">
        <f>(0.16+0.48)*G13*2</f>
        <v>49.664</v>
      </c>
      <c r="Q13" s="15">
        <f>(K13*2+0.3)*0.15/2*G13</f>
        <v>11.6982</v>
      </c>
      <c r="R13" s="15">
        <f t="shared" ref="R13:R17" si="5">((K13+0.3)*2+(0.16+0.96+0.5)*1*2)*(0.16+0.96+0.5)*0.5*G13-O13-3.14*0.48*0.48*G13</f>
        <v>191.7939872</v>
      </c>
      <c r="S13" s="15">
        <f t="shared" ref="S13:S17" si="6">N13-O13-Q13-R13-3.14*0.48*0.48*G13</f>
        <v>60.05522</v>
      </c>
      <c r="XFC13"/>
    </row>
    <row r="14" s="1" customFormat="1" ht="12.45" customHeight="1" spans="2:16383">
      <c r="B14" s="14" t="s">
        <v>129</v>
      </c>
      <c r="C14" s="14" t="s">
        <v>120</v>
      </c>
      <c r="D14" s="14" t="s">
        <v>130</v>
      </c>
      <c r="E14" s="14"/>
      <c r="F14" s="15"/>
      <c r="G14" s="15"/>
      <c r="H14" s="15"/>
      <c r="I14" s="15"/>
      <c r="J14" s="30"/>
      <c r="K14" s="15"/>
      <c r="L14" s="15"/>
      <c r="M14" s="15"/>
      <c r="N14" s="15"/>
      <c r="O14" s="15"/>
      <c r="P14" s="15"/>
      <c r="Q14" s="15"/>
      <c r="R14" s="15"/>
      <c r="S14" s="15"/>
      <c r="XFC14"/>
    </row>
    <row r="15" s="1" customFormat="1" ht="12.45" customHeight="1" spans="2:16383">
      <c r="B15" s="14"/>
      <c r="C15" s="14"/>
      <c r="D15" s="14"/>
      <c r="E15" s="14" t="s">
        <v>122</v>
      </c>
      <c r="F15" s="15">
        <v>40</v>
      </c>
      <c r="G15" s="15">
        <f>F15-1.2</f>
        <v>38.8</v>
      </c>
      <c r="H15" s="15">
        <f>(19.62+19.76)/2-1.48</f>
        <v>18.21</v>
      </c>
      <c r="I15" s="15">
        <f>(16.87+16.95)/2-0.08-0.16-0.15</f>
        <v>16.52</v>
      </c>
      <c r="J15" s="30">
        <f t="shared" si="0"/>
        <v>1.97</v>
      </c>
      <c r="K15" s="15">
        <f t="shared" si="1"/>
        <v>1.86</v>
      </c>
      <c r="L15" s="15">
        <f t="shared" si="2"/>
        <v>5.8</v>
      </c>
      <c r="M15" s="15">
        <f t="shared" si="3"/>
        <v>7.5451</v>
      </c>
      <c r="N15" s="15">
        <f t="shared" si="4"/>
        <v>309.3491</v>
      </c>
      <c r="O15" s="15">
        <f>0.457*G15</f>
        <v>17.7316</v>
      </c>
      <c r="P15" s="15">
        <f>(0.16+0.48)*G15*2</f>
        <v>49.664</v>
      </c>
      <c r="Q15" s="15">
        <f>(K15*2+0.3)*0.15/2*G15</f>
        <v>11.6982</v>
      </c>
      <c r="R15" s="15">
        <f t="shared" si="5"/>
        <v>191.7939872</v>
      </c>
      <c r="S15" s="15">
        <f t="shared" si="6"/>
        <v>60.05522</v>
      </c>
      <c r="XFC15"/>
    </row>
    <row r="16" s="1" customFormat="1" ht="12.45" customHeight="1" spans="2:16383">
      <c r="B16" s="14" t="s">
        <v>131</v>
      </c>
      <c r="C16" s="14" t="s">
        <v>120</v>
      </c>
      <c r="D16" s="14" t="s">
        <v>132</v>
      </c>
      <c r="E16" s="14"/>
      <c r="F16" s="15"/>
      <c r="G16" s="15"/>
      <c r="H16" s="15"/>
      <c r="I16" s="15"/>
      <c r="J16" s="30"/>
      <c r="K16" s="15"/>
      <c r="L16" s="15"/>
      <c r="M16" s="15"/>
      <c r="N16" s="15"/>
      <c r="O16" s="15"/>
      <c r="P16" s="15"/>
      <c r="Q16" s="15"/>
      <c r="R16" s="15"/>
      <c r="S16" s="15"/>
      <c r="XFC16"/>
    </row>
    <row r="17" s="1" customFormat="1" ht="12.45" customHeight="1" spans="2:16383">
      <c r="B17" s="14"/>
      <c r="C17" s="14"/>
      <c r="D17" s="14"/>
      <c r="E17" s="14" t="s">
        <v>122</v>
      </c>
      <c r="F17" s="15">
        <f>37.4+21.9+0.5</f>
        <v>59.8</v>
      </c>
      <c r="G17" s="15">
        <f>F17-0.6</f>
        <v>59.2</v>
      </c>
      <c r="H17" s="15">
        <f>(19.62+19.48)/2-1.48</f>
        <v>18.07</v>
      </c>
      <c r="I17" s="15">
        <f>(16.87+16.8)/2-0.08-0.16-0.15</f>
        <v>16.445</v>
      </c>
      <c r="J17" s="30">
        <f t="shared" si="0"/>
        <v>1.97</v>
      </c>
      <c r="K17" s="15">
        <f t="shared" si="1"/>
        <v>1.86</v>
      </c>
      <c r="L17" s="15">
        <f t="shared" si="2"/>
        <v>5.8</v>
      </c>
      <c r="M17" s="15">
        <f t="shared" si="3"/>
        <v>7.5451</v>
      </c>
      <c r="N17" s="15">
        <f t="shared" si="4"/>
        <v>462.4769045</v>
      </c>
      <c r="O17" s="15">
        <f>0.457*G17</f>
        <v>27.0544</v>
      </c>
      <c r="P17" s="15">
        <f>(0.16+0.48)*G17*2</f>
        <v>75.776</v>
      </c>
      <c r="Q17" s="15">
        <f>(K17*2+0.3)*0.15/2*G17</f>
        <v>17.8488</v>
      </c>
      <c r="R17" s="15">
        <f t="shared" si="5"/>
        <v>292.6341248</v>
      </c>
      <c r="S17" s="15">
        <f t="shared" si="6"/>
        <v>82.1109844999999</v>
      </c>
      <c r="XFC17"/>
    </row>
    <row r="18" s="1" customFormat="1" ht="12.45" customHeight="1" spans="2:16383">
      <c r="B18" s="14" t="s">
        <v>133</v>
      </c>
      <c r="C18" s="14" t="s">
        <v>120</v>
      </c>
      <c r="D18" s="14" t="s">
        <v>33</v>
      </c>
      <c r="E18" s="14"/>
      <c r="F18" s="15"/>
      <c r="G18" s="15"/>
      <c r="H18" s="15"/>
      <c r="I18" s="15"/>
      <c r="J18" s="30"/>
      <c r="K18" s="15"/>
      <c r="L18" s="15"/>
      <c r="M18" s="15"/>
      <c r="N18" s="15"/>
      <c r="O18" s="15"/>
      <c r="P18" s="15"/>
      <c r="Q18" s="15"/>
      <c r="R18" s="15"/>
      <c r="S18" s="15"/>
      <c r="XFC18"/>
    </row>
    <row r="19" s="1" customFormat="1" ht="12.45" customHeight="1" spans="2:16383">
      <c r="B19" s="14"/>
      <c r="C19" s="14"/>
      <c r="D19" s="14"/>
      <c r="E19" s="14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XFC19"/>
    </row>
    <row r="20" s="1" customFormat="1" ht="12.45" customHeight="1" spans="2:16383">
      <c r="B20" s="14"/>
      <c r="C20" s="14"/>
      <c r="D20" s="14"/>
      <c r="E20" s="14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XFC20"/>
    </row>
    <row r="21" s="1" customFormat="1" ht="12.45" customHeight="1" spans="2:16383">
      <c r="B21" s="14"/>
      <c r="C21" s="14"/>
      <c r="D21" s="14"/>
      <c r="E21" s="14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XFC21"/>
    </row>
    <row r="22" s="1" customFormat="1" ht="12.45" customHeight="1" spans="2:16383">
      <c r="B22" s="14" t="s">
        <v>134</v>
      </c>
      <c r="C22" s="14"/>
      <c r="D22" s="14" t="s">
        <v>35</v>
      </c>
      <c r="E22" s="1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XFC22"/>
    </row>
    <row r="23" s="1" customFormat="1" ht="12.45" customHeight="1" spans="2:16383">
      <c r="B23" s="14"/>
      <c r="C23" s="14"/>
      <c r="D23" s="14"/>
      <c r="E23" s="14" t="s">
        <v>135</v>
      </c>
      <c r="F23" s="15">
        <f>19.7+54.6+0.5</f>
        <v>74.8</v>
      </c>
      <c r="G23" s="15">
        <f>F23-0.6</f>
        <v>74.2</v>
      </c>
      <c r="H23" s="15">
        <f>(19.74+19.83)/2-1.48</f>
        <v>18.305</v>
      </c>
      <c r="I23" s="15">
        <f>(16.03+15.93)/2-0.12-0.24-0.15</f>
        <v>15.47</v>
      </c>
      <c r="J23" s="31">
        <f t="shared" ref="J23:J27" si="7">H23-I23</f>
        <v>2.835</v>
      </c>
      <c r="K23" s="15">
        <f t="shared" ref="K23:K27" si="8">1.2+0.12*2+0.6*2</f>
        <v>2.64</v>
      </c>
      <c r="L23" s="15">
        <f t="shared" ref="L23:L27" si="9">K23+J23*1*2</f>
        <v>8.30999999999999</v>
      </c>
      <c r="M23" s="15">
        <f t="shared" ref="M23:M27" si="10">(K23+L23)*J23/2</f>
        <v>15.521625</v>
      </c>
      <c r="N23" s="15">
        <f t="shared" ref="N23:N27" si="11">M23*F23*1.025</f>
        <v>1190.04298875</v>
      </c>
      <c r="O23" s="15">
        <f>1.029*G23</f>
        <v>76.3518</v>
      </c>
      <c r="P23" s="15">
        <f>(0.24+0.72)*G23*2</f>
        <v>142.464</v>
      </c>
      <c r="Q23" s="15">
        <f>(K23*2+0.3)*0.15/2*G23</f>
        <v>31.0527</v>
      </c>
      <c r="R23" s="15">
        <f t="shared" ref="R23:R27" si="12">((K23+0.3)*2+(0.24+1.44+0.5)*1*2)*(0.24+1.44+0.5)*0.5*G23-O23-3.14*0.72*0.72*G23</f>
        <v>631.0579408</v>
      </c>
      <c r="S23" s="15">
        <f t="shared" ref="S23:S27" si="13">N23-O23-Q23-R23-3.14*0.72*0.72*G23</f>
        <v>330.799568749998</v>
      </c>
      <c r="XFC23"/>
    </row>
    <row r="24" s="1" customFormat="1" ht="12.45" customHeight="1" spans="2:16383">
      <c r="B24" s="14" t="s">
        <v>136</v>
      </c>
      <c r="C24" s="14" t="s">
        <v>137</v>
      </c>
      <c r="D24" s="14" t="s">
        <v>138</v>
      </c>
      <c r="E24" s="14"/>
      <c r="F24" s="15"/>
      <c r="G24" s="15"/>
      <c r="H24" s="15"/>
      <c r="I24" s="15"/>
      <c r="J24" s="31"/>
      <c r="K24" s="15"/>
      <c r="L24" s="15"/>
      <c r="M24" s="15"/>
      <c r="N24" s="15"/>
      <c r="O24" s="15"/>
      <c r="P24" s="15"/>
      <c r="Q24" s="15"/>
      <c r="R24" s="15"/>
      <c r="S24" s="15"/>
      <c r="XFC24"/>
    </row>
    <row r="25" s="1" customFormat="1" ht="12.45" customHeight="1" spans="2:16383">
      <c r="B25" s="14"/>
      <c r="C25" s="14"/>
      <c r="D25" s="14"/>
      <c r="E25" s="14" t="s">
        <v>135</v>
      </c>
      <c r="F25" s="15">
        <f>48.3+1</f>
        <v>49.3</v>
      </c>
      <c r="G25" s="15">
        <f>F25-1.2</f>
        <v>48.1</v>
      </c>
      <c r="H25" s="15">
        <f>(20.1+19.83)/2-1.48</f>
        <v>18.485</v>
      </c>
      <c r="I25" s="15">
        <f>(15.83+15.93)/2-0.12-0.24-0.15</f>
        <v>15.37</v>
      </c>
      <c r="J25" s="31">
        <f t="shared" si="7"/>
        <v>3.115</v>
      </c>
      <c r="K25" s="15">
        <f t="shared" si="8"/>
        <v>2.64</v>
      </c>
      <c r="L25" s="15">
        <f t="shared" si="9"/>
        <v>8.87</v>
      </c>
      <c r="M25" s="15">
        <f t="shared" si="10"/>
        <v>17.926825</v>
      </c>
      <c r="N25" s="15">
        <f t="shared" si="11"/>
        <v>905.8872843125</v>
      </c>
      <c r="O25" s="15">
        <f>1.029*G25</f>
        <v>49.4949</v>
      </c>
      <c r="P25" s="15">
        <f>(0.24+0.72)*G25*2</f>
        <v>92.352</v>
      </c>
      <c r="Q25" s="15">
        <f>(K25*2+0.3)*0.15/2*G25</f>
        <v>20.12985</v>
      </c>
      <c r="R25" s="15">
        <f t="shared" si="12"/>
        <v>409.0820344</v>
      </c>
      <c r="S25" s="15">
        <f t="shared" si="13"/>
        <v>348.8844743125</v>
      </c>
      <c r="XFC25"/>
    </row>
    <row r="26" s="1" customFormat="1" ht="12.45" customHeight="1" spans="2:16383">
      <c r="B26" s="14" t="s">
        <v>139</v>
      </c>
      <c r="C26" s="14" t="s">
        <v>137</v>
      </c>
      <c r="D26" s="14" t="s">
        <v>140</v>
      </c>
      <c r="E26" s="14"/>
      <c r="F26" s="15"/>
      <c r="G26" s="15"/>
      <c r="H26" s="15"/>
      <c r="I26" s="15"/>
      <c r="J26" s="31"/>
      <c r="K26" s="15"/>
      <c r="L26" s="15"/>
      <c r="M26" s="15"/>
      <c r="N26" s="15"/>
      <c r="O26" s="15"/>
      <c r="P26" s="15"/>
      <c r="Q26" s="15"/>
      <c r="R26" s="15"/>
      <c r="S26" s="15"/>
      <c r="XFC26"/>
    </row>
    <row r="27" s="1" customFormat="1" ht="12.45" customHeight="1" spans="2:16383">
      <c r="B27" s="14"/>
      <c r="C27" s="14"/>
      <c r="D27" s="14"/>
      <c r="E27" s="14" t="s">
        <v>135</v>
      </c>
      <c r="F27" s="15">
        <f>38.2+1</f>
        <v>39.2</v>
      </c>
      <c r="G27" s="15">
        <f>F27-1</f>
        <v>38.2</v>
      </c>
      <c r="H27" s="15">
        <f>(20.1+20.28)/2-1.48</f>
        <v>18.71</v>
      </c>
      <c r="I27" s="15">
        <f>(15.83+15.75)/2-0.12-0.24-0.15</f>
        <v>15.28</v>
      </c>
      <c r="J27" s="31">
        <f t="shared" si="7"/>
        <v>3.43</v>
      </c>
      <c r="K27" s="15">
        <f t="shared" si="8"/>
        <v>2.64</v>
      </c>
      <c r="L27" s="15">
        <f t="shared" si="9"/>
        <v>9.5</v>
      </c>
      <c r="M27" s="15">
        <f t="shared" si="10"/>
        <v>20.8201</v>
      </c>
      <c r="N27" s="15">
        <f t="shared" si="11"/>
        <v>836.551618000001</v>
      </c>
      <c r="O27" s="15">
        <f>1.029*G27</f>
        <v>39.3078</v>
      </c>
      <c r="P27" s="15">
        <f>(0.24+0.72)*G27*2</f>
        <v>73.344</v>
      </c>
      <c r="Q27" s="15">
        <f>(K27*2+0.3)*0.15/2*G27</f>
        <v>15.9867</v>
      </c>
      <c r="R27" s="15">
        <f t="shared" si="12"/>
        <v>324.8842768</v>
      </c>
      <c r="S27" s="15">
        <f t="shared" si="13"/>
        <v>394.191798000001</v>
      </c>
      <c r="XFC27"/>
    </row>
    <row r="28" s="1" customFormat="1" ht="12.45" customHeight="1" spans="2:16383">
      <c r="B28" s="14" t="s">
        <v>141</v>
      </c>
      <c r="C28" s="14" t="s">
        <v>142</v>
      </c>
      <c r="D28" s="14" t="s">
        <v>143</v>
      </c>
      <c r="E28" s="14"/>
      <c r="F28" s="15"/>
      <c r="G28" s="15"/>
      <c r="H28" s="15"/>
      <c r="I28" s="15"/>
      <c r="J28" s="31"/>
      <c r="K28" s="15"/>
      <c r="L28" s="15"/>
      <c r="M28" s="15"/>
      <c r="N28" s="15"/>
      <c r="O28" s="15"/>
      <c r="P28" s="15"/>
      <c r="Q28" s="15"/>
      <c r="R28" s="15"/>
      <c r="S28" s="15"/>
      <c r="XFC28"/>
    </row>
    <row r="29" s="1" customFormat="1" spans="2:16383">
      <c r="B29" s="14"/>
      <c r="C29" s="14"/>
      <c r="D29" s="14"/>
      <c r="E29" s="14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XFC29"/>
    </row>
    <row r="30" s="1" customFormat="1" spans="2:16383">
      <c r="B30" s="14"/>
      <c r="C30" s="14"/>
      <c r="D30" s="14"/>
      <c r="E30" s="14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XFC30"/>
    </row>
    <row r="31" s="1" customFormat="1" spans="2:16383">
      <c r="B31" s="14"/>
      <c r="C31" s="14"/>
      <c r="D31" s="14"/>
      <c r="E31" s="14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XFC31"/>
    </row>
    <row r="32" s="1" customFormat="1" spans="2:16383">
      <c r="B32" s="14" t="s">
        <v>144</v>
      </c>
      <c r="C32" s="14" t="s">
        <v>142</v>
      </c>
      <c r="D32" s="14" t="s">
        <v>143</v>
      </c>
      <c r="E32" s="14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XFC32"/>
    </row>
    <row r="33" s="1" customFormat="1" spans="2:16383">
      <c r="B33" s="14"/>
      <c r="C33" s="14"/>
      <c r="D33" s="14"/>
      <c r="E33" s="14" t="s">
        <v>122</v>
      </c>
      <c r="F33" s="15">
        <f>61.6+1</f>
        <v>62.6</v>
      </c>
      <c r="G33" s="15">
        <f t="shared" ref="G33:G37" si="14">F33-1.2</f>
        <v>61.4</v>
      </c>
      <c r="H33" s="15">
        <f>(20.28+20.07)/2-1.48</f>
        <v>18.695</v>
      </c>
      <c r="I33" s="15">
        <f>(16.8+16.92)/2-0.08-0.16-0.15</f>
        <v>16.47</v>
      </c>
      <c r="J33" s="31">
        <f>H33-I33</f>
        <v>2.225</v>
      </c>
      <c r="K33" s="15">
        <f t="shared" ref="K33:K37" si="15">0.8+0.16+0.45*2</f>
        <v>1.86</v>
      </c>
      <c r="L33" s="15">
        <f t="shared" ref="L33:L37" si="16">K33+J33*1*2</f>
        <v>6.31</v>
      </c>
      <c r="M33" s="15">
        <f t="shared" ref="M33:M37" si="17">(K33+L33)*J33/2</f>
        <v>9.08912499999999</v>
      </c>
      <c r="N33" s="15">
        <f t="shared" ref="N33:N37" si="18">M33*F33*1.025</f>
        <v>583.203705624999</v>
      </c>
      <c r="O33" s="15">
        <f>0.457*G33</f>
        <v>28.0598</v>
      </c>
      <c r="P33" s="15">
        <f t="shared" ref="P33:P37" si="19">(0.16+0.48)*G33*2</f>
        <v>78.592</v>
      </c>
      <c r="Q33" s="15">
        <f>(K33*2+0.3)*0.15/2*G33</f>
        <v>18.5121</v>
      </c>
      <c r="R33" s="15">
        <f t="shared" ref="R33:R37" si="20">((K33+0.3)*2+(0.16+0.96+0.5)*1*2)*(0.16+0.96+0.5)*0.5*G33-O33-3.14*0.48*0.48*G33</f>
        <v>303.5090416</v>
      </c>
      <c r="S33" s="15">
        <f t="shared" ref="S33:S37" si="21">N33-O33-Q33-R33-3.14*0.48*0.48*G33</f>
        <v>188.702565624999</v>
      </c>
      <c r="XFC33"/>
    </row>
    <row r="34" s="1" customFormat="1" spans="2:16383">
      <c r="B34" s="14" t="s">
        <v>145</v>
      </c>
      <c r="C34" s="14" t="s">
        <v>120</v>
      </c>
      <c r="D34" s="14" t="s">
        <v>146</v>
      </c>
      <c r="E34" s="14"/>
      <c r="F34" s="15"/>
      <c r="G34" s="15"/>
      <c r="H34" s="15"/>
      <c r="I34" s="15"/>
      <c r="J34" s="31"/>
      <c r="K34" s="15"/>
      <c r="L34" s="15"/>
      <c r="M34" s="15"/>
      <c r="N34" s="15"/>
      <c r="O34" s="15"/>
      <c r="P34" s="15"/>
      <c r="Q34" s="15"/>
      <c r="R34" s="15"/>
      <c r="S34" s="15"/>
      <c r="XFC34"/>
    </row>
    <row r="35" s="1" customFormat="1" spans="2:16383">
      <c r="B35" s="14"/>
      <c r="C35" s="14"/>
      <c r="D35" s="14"/>
      <c r="E35" s="14" t="s">
        <v>122</v>
      </c>
      <c r="F35" s="15">
        <f>38+1</f>
        <v>39</v>
      </c>
      <c r="G35" s="15">
        <f t="shared" si="14"/>
        <v>37.8</v>
      </c>
      <c r="H35" s="15">
        <f>(19.92+20.07)/2-1.48</f>
        <v>18.515</v>
      </c>
      <c r="I35" s="15">
        <f>(17+16.92)/2-0.08-0.16-0.15</f>
        <v>16.57</v>
      </c>
      <c r="J35" s="30">
        <v>1.97</v>
      </c>
      <c r="K35" s="15">
        <f t="shared" si="15"/>
        <v>1.86</v>
      </c>
      <c r="L35" s="15">
        <f t="shared" si="16"/>
        <v>5.8</v>
      </c>
      <c r="M35" s="15">
        <f t="shared" si="17"/>
        <v>7.5451</v>
      </c>
      <c r="N35" s="15">
        <f t="shared" si="18"/>
        <v>301.6153725</v>
      </c>
      <c r="O35" s="15">
        <f>0.457*G35</f>
        <v>17.2746</v>
      </c>
      <c r="P35" s="15">
        <f t="shared" si="19"/>
        <v>48.384</v>
      </c>
      <c r="Q35" s="15">
        <f>(K35*2+0.3)*0.15/2*G35</f>
        <v>11.3967</v>
      </c>
      <c r="R35" s="15">
        <f t="shared" si="20"/>
        <v>186.8508432</v>
      </c>
      <c r="S35" s="15">
        <f t="shared" si="21"/>
        <v>58.7465925</v>
      </c>
      <c r="XFC35"/>
    </row>
    <row r="36" s="1" customFormat="1" spans="2:16383">
      <c r="B36" s="14" t="s">
        <v>147</v>
      </c>
      <c r="C36" s="14" t="s">
        <v>120</v>
      </c>
      <c r="D36" s="14" t="s">
        <v>148</v>
      </c>
      <c r="E36" s="14"/>
      <c r="F36" s="15"/>
      <c r="G36" s="15"/>
      <c r="H36" s="15"/>
      <c r="I36" s="15"/>
      <c r="J36" s="30"/>
      <c r="K36" s="15"/>
      <c r="L36" s="15"/>
      <c r="M36" s="15"/>
      <c r="N36" s="15"/>
      <c r="O36" s="15"/>
      <c r="P36" s="15"/>
      <c r="Q36" s="15"/>
      <c r="R36" s="15"/>
      <c r="S36" s="15"/>
      <c r="XFC36"/>
    </row>
    <row r="37" s="1" customFormat="1" spans="2:16383">
      <c r="B37" s="14"/>
      <c r="C37" s="14"/>
      <c r="D37" s="14"/>
      <c r="E37" s="14" t="s">
        <v>122</v>
      </c>
      <c r="F37" s="15">
        <f>40.1+1</f>
        <v>41.1</v>
      </c>
      <c r="G37" s="15">
        <f t="shared" si="14"/>
        <v>39.9</v>
      </c>
      <c r="H37" s="15">
        <f>(19.92+19.78)/2-1.48</f>
        <v>18.37</v>
      </c>
      <c r="I37" s="15">
        <f>(17+17.08)/2-0.08-0.16-0.15</f>
        <v>16.65</v>
      </c>
      <c r="J37" s="30">
        <v>1.97</v>
      </c>
      <c r="K37" s="15">
        <f t="shared" si="15"/>
        <v>1.86</v>
      </c>
      <c r="L37" s="15">
        <f t="shared" si="16"/>
        <v>5.8</v>
      </c>
      <c r="M37" s="15">
        <f t="shared" si="17"/>
        <v>7.5451</v>
      </c>
      <c r="N37" s="15">
        <f t="shared" si="18"/>
        <v>317.85620025</v>
      </c>
      <c r="O37" s="15">
        <f>0.457*G37</f>
        <v>18.2343</v>
      </c>
      <c r="P37" s="15">
        <f t="shared" si="19"/>
        <v>51.072</v>
      </c>
      <c r="Q37" s="15">
        <f>(K37*2+0.3)*0.15/2*G37</f>
        <v>12.02985</v>
      </c>
      <c r="R37" s="15">
        <f t="shared" si="20"/>
        <v>197.2314456</v>
      </c>
      <c r="S37" s="15">
        <f t="shared" si="21"/>
        <v>61.4947102499999</v>
      </c>
      <c r="XFC37"/>
    </row>
    <row r="38" s="1" customFormat="1" spans="2:16383">
      <c r="B38" s="14" t="s">
        <v>149</v>
      </c>
      <c r="C38" s="14" t="s">
        <v>120</v>
      </c>
      <c r="D38" s="14" t="s">
        <v>150</v>
      </c>
      <c r="E38" s="14"/>
      <c r="F38" s="15"/>
      <c r="G38" s="15"/>
      <c r="H38" s="15"/>
      <c r="I38" s="15"/>
      <c r="J38" s="30"/>
      <c r="K38" s="15"/>
      <c r="L38" s="15"/>
      <c r="M38" s="15"/>
      <c r="N38" s="15"/>
      <c r="O38" s="15"/>
      <c r="P38" s="15"/>
      <c r="Q38" s="15"/>
      <c r="R38" s="15"/>
      <c r="S38" s="15"/>
      <c r="XFC38"/>
    </row>
    <row r="39" s="1" customFormat="1" ht="14.4" customHeight="1" spans="2:16383">
      <c r="B39" s="14"/>
      <c r="C39" s="14"/>
      <c r="D39" s="14"/>
      <c r="E39" s="14" t="s">
        <v>122</v>
      </c>
      <c r="F39" s="15">
        <f>38+1</f>
        <v>39</v>
      </c>
      <c r="G39" s="15">
        <f>F39-1.2</f>
        <v>37.8</v>
      </c>
      <c r="H39" s="15">
        <f>(19.64+19.78)/2-1.48</f>
        <v>18.23</v>
      </c>
      <c r="I39" s="15">
        <f>(17.16+17.08)/2-0.08-0.16-0.15</f>
        <v>16.73</v>
      </c>
      <c r="J39" s="30">
        <v>1.97</v>
      </c>
      <c r="K39" s="15">
        <f>0.8+0.16+0.45*2</f>
        <v>1.86</v>
      </c>
      <c r="L39" s="15">
        <f>K39+J39*1*2</f>
        <v>5.8</v>
      </c>
      <c r="M39" s="15">
        <f>(K39+L39)*J39/2</f>
        <v>7.5451</v>
      </c>
      <c r="N39" s="15">
        <f>M39*F39*1.025</f>
        <v>301.6153725</v>
      </c>
      <c r="O39" s="15">
        <f>0.457*G39</f>
        <v>17.2746</v>
      </c>
      <c r="P39" s="15">
        <f>(0.16+0.48)*G39*2</f>
        <v>48.384</v>
      </c>
      <c r="Q39" s="15">
        <f>(K39*2+0.3)*0.15/2*G39</f>
        <v>11.3967</v>
      </c>
      <c r="R39" s="15">
        <f>((K39+0.3)*2+(0.16+0.96+0.5)*1*2)*(0.16+0.96+0.5)*0.5*G39-O39-3.14*0.48*0.48*G39</f>
        <v>186.8508432</v>
      </c>
      <c r="S39" s="15">
        <f>N39-O39-Q39-R39-3.14*0.48*0.48*G39</f>
        <v>58.7465925</v>
      </c>
      <c r="XFC39"/>
    </row>
    <row r="40" s="1" customFormat="1" spans="2:16383">
      <c r="B40" s="14" t="s">
        <v>151</v>
      </c>
      <c r="C40" s="14" t="s">
        <v>120</v>
      </c>
      <c r="D40" s="14" t="s">
        <v>152</v>
      </c>
      <c r="E40" s="14"/>
      <c r="F40" s="15"/>
      <c r="G40" s="15"/>
      <c r="H40" s="15"/>
      <c r="I40" s="15"/>
      <c r="J40" s="30"/>
      <c r="K40" s="15"/>
      <c r="L40" s="15"/>
      <c r="M40" s="15"/>
      <c r="N40" s="15"/>
      <c r="O40" s="15"/>
      <c r="P40" s="15"/>
      <c r="Q40" s="15"/>
      <c r="R40" s="15"/>
      <c r="S40" s="15"/>
      <c r="XFC40"/>
    </row>
    <row r="41" s="1" customFormat="1" spans="2:16383">
      <c r="B41" s="14"/>
      <c r="C41" s="14"/>
      <c r="D41" s="14"/>
      <c r="E41" s="14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XFC41"/>
    </row>
    <row r="42" s="1" customFormat="1" spans="2:16383">
      <c r="B42" s="25"/>
      <c r="C42" s="25"/>
      <c r="D42" s="25"/>
      <c r="E42" s="14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XFC42"/>
    </row>
    <row r="43" s="1" customFormat="1" spans="2:16383">
      <c r="B43" s="25"/>
      <c r="C43" s="25"/>
      <c r="D43" s="25"/>
      <c r="E43" s="14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XFC43"/>
    </row>
    <row r="44" s="1" customFormat="1" spans="2:16383">
      <c r="B44" s="14" t="s">
        <v>153</v>
      </c>
      <c r="C44" s="14" t="s">
        <v>120</v>
      </c>
      <c r="D44" s="14" t="s">
        <v>154</v>
      </c>
      <c r="E44" s="14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XFC44"/>
    </row>
    <row r="45" s="1" customFormat="1" spans="2:16383">
      <c r="B45" s="14"/>
      <c r="C45" s="14"/>
      <c r="D45" s="14"/>
      <c r="E45" s="14" t="s">
        <v>122</v>
      </c>
      <c r="F45" s="14">
        <f>46.1+1</f>
        <v>47.1</v>
      </c>
      <c r="G45" s="15">
        <f t="shared" ref="G45:G49" si="22">F45-1.2</f>
        <v>45.9</v>
      </c>
      <c r="H45" s="15">
        <f>(19.2+19.15)/2-1.48</f>
        <v>17.695</v>
      </c>
      <c r="I45" s="15">
        <f>(17+16.92)/2-0.08-0.16-0.15</f>
        <v>16.57</v>
      </c>
      <c r="J45" s="30">
        <v>1.97</v>
      </c>
      <c r="K45" s="15">
        <f>0.8+0.16+0.45*2</f>
        <v>1.86</v>
      </c>
      <c r="L45" s="15">
        <f t="shared" ref="L45:L49" si="23">K45+J45*1*2</f>
        <v>5.8</v>
      </c>
      <c r="M45" s="15">
        <f t="shared" ref="M45:M49" si="24">(K45+L45)*J45/2</f>
        <v>7.5451</v>
      </c>
      <c r="N45" s="15">
        <f t="shared" ref="N45:N49" si="25">M45*F45*1.025</f>
        <v>364.25856525</v>
      </c>
      <c r="O45" s="15">
        <f>0.457*G45</f>
        <v>20.9763</v>
      </c>
      <c r="P45" s="15">
        <f>(0.16+0.48)*G45*2</f>
        <v>58.752</v>
      </c>
      <c r="Q45" s="15">
        <f>(K45*2+0.3)*0.15/2*G45</f>
        <v>13.83885</v>
      </c>
      <c r="R45" s="15">
        <f>((K45+0.3)*2+(0.16+0.96+0.5)*1*2)*(0.16+0.96+0.5)*0.5*G45-O45-3.14*0.48*0.48*G45</f>
        <v>226.8903096</v>
      </c>
      <c r="S45" s="15">
        <f>N45-O45-Q45-R45-3.14*0.48*0.48*G45</f>
        <v>69.34647525</v>
      </c>
      <c r="XFC45"/>
    </row>
    <row r="46" s="1" customFormat="1" spans="2:16383">
      <c r="B46" s="14" t="s">
        <v>155</v>
      </c>
      <c r="C46" s="14" t="s">
        <v>120</v>
      </c>
      <c r="D46" s="14" t="s">
        <v>156</v>
      </c>
      <c r="E46" s="14"/>
      <c r="F46" s="14"/>
      <c r="G46" s="15"/>
      <c r="H46" s="15"/>
      <c r="I46" s="15"/>
      <c r="J46" s="30"/>
      <c r="K46" s="15"/>
      <c r="L46" s="15"/>
      <c r="M46" s="15"/>
      <c r="N46" s="15"/>
      <c r="O46" s="15"/>
      <c r="P46" s="15"/>
      <c r="Q46" s="15"/>
      <c r="R46" s="15"/>
      <c r="S46" s="15"/>
      <c r="XFC46"/>
    </row>
    <row r="47" s="1" customFormat="1" spans="2:16383">
      <c r="B47" s="14"/>
      <c r="C47" s="14"/>
      <c r="D47" s="14"/>
      <c r="E47" s="14" t="s">
        <v>122</v>
      </c>
      <c r="F47" s="14">
        <f>51.9+1</f>
        <v>52.9</v>
      </c>
      <c r="G47" s="15">
        <f t="shared" si="22"/>
        <v>51.7</v>
      </c>
      <c r="H47" s="15">
        <f>(19.31+19.15)/2-1.48</f>
        <v>17.75</v>
      </c>
      <c r="I47" s="15">
        <f>(16.64+16.92)/2-0.08-0.16-0.15</f>
        <v>16.39</v>
      </c>
      <c r="J47" s="30">
        <v>1.97</v>
      </c>
      <c r="K47" s="15">
        <f>0.8+0.16+0.45*2</f>
        <v>1.86</v>
      </c>
      <c r="L47" s="15">
        <f t="shared" si="23"/>
        <v>5.8</v>
      </c>
      <c r="M47" s="15">
        <f t="shared" si="24"/>
        <v>7.5451</v>
      </c>
      <c r="N47" s="15">
        <f t="shared" si="25"/>
        <v>409.11418475</v>
      </c>
      <c r="O47" s="15">
        <f>0.457*G47</f>
        <v>23.6269</v>
      </c>
      <c r="P47" s="15">
        <f>(0.16+0.48)*G47*2</f>
        <v>66.176</v>
      </c>
      <c r="Q47" s="15">
        <f>(K47*2+0.3)*0.15/2*G47</f>
        <v>15.58755</v>
      </c>
      <c r="R47" s="15">
        <f>((K47+0.3)*2+(0.16+0.96+0.5)*1*2)*(0.16+0.96+0.5)*0.5*G47-O47-3.14*0.48*0.48*G47</f>
        <v>255.5605448</v>
      </c>
      <c r="S47" s="15">
        <f>N47-O47-Q47-R47-3.14*0.48*0.48*G47</f>
        <v>76.93651475</v>
      </c>
      <c r="XFC47"/>
    </row>
    <row r="48" s="1" customFormat="1" spans="2:16383">
      <c r="B48" s="14" t="s">
        <v>157</v>
      </c>
      <c r="C48" s="14" t="s">
        <v>120</v>
      </c>
      <c r="D48" s="14" t="s">
        <v>158</v>
      </c>
      <c r="E48" s="14"/>
      <c r="F48" s="14"/>
      <c r="G48" s="15"/>
      <c r="H48" s="15"/>
      <c r="I48" s="15"/>
      <c r="J48" s="30"/>
      <c r="K48" s="15"/>
      <c r="L48" s="15"/>
      <c r="M48" s="15"/>
      <c r="N48" s="15"/>
      <c r="O48" s="15"/>
      <c r="P48" s="15"/>
      <c r="Q48" s="15"/>
      <c r="R48" s="15"/>
      <c r="S48" s="15"/>
      <c r="XFC48"/>
    </row>
    <row r="49" s="1" customFormat="1" spans="2:16383">
      <c r="B49" s="14"/>
      <c r="C49" s="14"/>
      <c r="D49" s="14"/>
      <c r="E49" s="14" t="s">
        <v>159</v>
      </c>
      <c r="F49" s="25">
        <f>48.3+1</f>
        <v>49.3</v>
      </c>
      <c r="G49" s="15">
        <f t="shared" si="22"/>
        <v>48.1</v>
      </c>
      <c r="H49" s="15">
        <f>(19.31+19.49)/2-1.48</f>
        <v>17.92</v>
      </c>
      <c r="I49" s="15">
        <f>(16.64+16.56)/2-0.1-0.2-0.15</f>
        <v>16.15</v>
      </c>
      <c r="J49" s="30">
        <f>1.2+0.2+0.15+0.7</f>
        <v>2.25</v>
      </c>
      <c r="K49" s="15">
        <f>1+0.1*2+0.45*2</f>
        <v>2.1</v>
      </c>
      <c r="L49" s="15">
        <f t="shared" si="23"/>
        <v>6.6</v>
      </c>
      <c r="M49" s="15">
        <f t="shared" si="24"/>
        <v>9.7875</v>
      </c>
      <c r="N49" s="15">
        <f t="shared" si="25"/>
        <v>494.58684375</v>
      </c>
      <c r="O49" s="15">
        <f>0.715*G49</f>
        <v>34.3915</v>
      </c>
      <c r="P49" s="15">
        <f>(0.2+0.6)*G49*2</f>
        <v>76.96</v>
      </c>
      <c r="Q49" s="15">
        <f>(K49*2+0.3)*0.15/2*G49</f>
        <v>16.23375</v>
      </c>
      <c r="R49" s="15">
        <f>((K49+0.3)*2+(0.2+1.2+0.5)*1*2)*(0.2+1.2+0.5)*0.5*G49-O49-3.14*0.6*0.6*G49</f>
        <v>304.21326</v>
      </c>
      <c r="S49" s="15">
        <f>N49-O49-Q49-R49-3.14*0.6*0.6*G49</f>
        <v>85.3760937499999</v>
      </c>
      <c r="XFC49"/>
    </row>
    <row r="50" s="1" customFormat="1" spans="2:16383">
      <c r="B50" s="14" t="s">
        <v>160</v>
      </c>
      <c r="C50" s="14" t="s">
        <v>120</v>
      </c>
      <c r="D50" s="14" t="s">
        <v>161</v>
      </c>
      <c r="E50" s="14"/>
      <c r="F50" s="25"/>
      <c r="G50" s="15"/>
      <c r="H50" s="15"/>
      <c r="I50" s="15"/>
      <c r="J50" s="30"/>
      <c r="K50" s="15"/>
      <c r="L50" s="15"/>
      <c r="M50" s="15"/>
      <c r="N50" s="15"/>
      <c r="O50" s="15"/>
      <c r="P50" s="15"/>
      <c r="Q50" s="15"/>
      <c r="R50" s="15"/>
      <c r="S50" s="15"/>
      <c r="XFC50"/>
    </row>
    <row r="51" s="1" customFormat="1" spans="2:16383">
      <c r="B51" s="14"/>
      <c r="C51" s="14"/>
      <c r="D51" s="14"/>
      <c r="E51" s="14" t="s">
        <v>159</v>
      </c>
      <c r="F51" s="25">
        <f>43.9+1</f>
        <v>44.9</v>
      </c>
      <c r="G51" s="15">
        <f>F51-1</f>
        <v>43.9</v>
      </c>
      <c r="H51" s="15">
        <f>(19.65+19.49)/2-1.48</f>
        <v>18.09</v>
      </c>
      <c r="I51" s="15">
        <f>(16.29+16.56)/2-0.1-0.2-0.15</f>
        <v>15.975</v>
      </c>
      <c r="J51" s="30">
        <f>1.2+0.2+0.15+0.7</f>
        <v>2.25</v>
      </c>
      <c r="K51" s="15">
        <f>1+0.1*2+0.45*2</f>
        <v>2.1</v>
      </c>
      <c r="L51" s="15">
        <f t="shared" ref="L51:L55" si="26">K51+J51*1*2</f>
        <v>6.6</v>
      </c>
      <c r="M51" s="15">
        <f t="shared" ref="M51:M55" si="27">(K51+L51)*J51/2</f>
        <v>9.7875</v>
      </c>
      <c r="N51" s="15">
        <f t="shared" ref="N51:N55" si="28">M51*F51*1.025</f>
        <v>450.44521875</v>
      </c>
      <c r="O51" s="15">
        <f>0.715*G51</f>
        <v>31.3885</v>
      </c>
      <c r="P51" s="15">
        <f>(0.2+0.6)*G51*2</f>
        <v>70.24</v>
      </c>
      <c r="Q51" s="15">
        <f>(K51*2+0.3)*0.15/2*G51</f>
        <v>14.81625</v>
      </c>
      <c r="R51" s="15">
        <f>((K51+0.3)*2+(0.2+1.2+0.5)*1*2)*(0.2+1.2+0.5)*0.5*G51-O51-3.14*0.6*0.6*G51</f>
        <v>277.64994</v>
      </c>
      <c r="S51" s="15">
        <f>N51-O51-Q51-R51-3.14*0.6*0.6*G51</f>
        <v>76.9659687499999</v>
      </c>
      <c r="XFC51"/>
    </row>
    <row r="52" s="1" customFormat="1" spans="2:16383">
      <c r="B52" s="14" t="s">
        <v>162</v>
      </c>
      <c r="C52" s="14" t="s">
        <v>137</v>
      </c>
      <c r="D52" s="14" t="s">
        <v>163</v>
      </c>
      <c r="E52" s="14"/>
      <c r="F52" s="25"/>
      <c r="G52" s="15"/>
      <c r="H52" s="15"/>
      <c r="I52" s="15"/>
      <c r="J52" s="30"/>
      <c r="K52" s="15"/>
      <c r="L52" s="15"/>
      <c r="M52" s="15"/>
      <c r="N52" s="15"/>
      <c r="O52" s="15"/>
      <c r="P52" s="15"/>
      <c r="Q52" s="15"/>
      <c r="R52" s="15"/>
      <c r="S52" s="15"/>
      <c r="XFC52"/>
    </row>
    <row r="53" s="1" customFormat="1" spans="2:16383">
      <c r="B53" s="14"/>
      <c r="C53" s="14"/>
      <c r="D53" s="14"/>
      <c r="E53" s="14" t="s">
        <v>135</v>
      </c>
      <c r="F53" s="25">
        <f>48.2+1</f>
        <v>49.2</v>
      </c>
      <c r="G53" s="15">
        <f>F53-1.2</f>
        <v>48</v>
      </c>
      <c r="H53" s="15">
        <f>(19.65+19.83)/2-1.48</f>
        <v>18.26</v>
      </c>
      <c r="I53" s="15">
        <f>(16.29+16.21)/2-0.12-0.24-0.15</f>
        <v>15.74</v>
      </c>
      <c r="J53" s="31">
        <f t="shared" ref="J51:J55" si="29">H53-I53</f>
        <v>2.52</v>
      </c>
      <c r="K53" s="15">
        <f t="shared" ref="K53:K57" si="30">1.2+0.12*2+0.6*2</f>
        <v>2.64</v>
      </c>
      <c r="L53" s="15">
        <f t="shared" si="26"/>
        <v>7.68</v>
      </c>
      <c r="M53" s="15">
        <f t="shared" si="27"/>
        <v>13.0032</v>
      </c>
      <c r="N53" s="15">
        <f t="shared" si="28"/>
        <v>655.751376</v>
      </c>
      <c r="O53" s="15">
        <f t="shared" ref="O53:O57" si="31">1.029*G53</f>
        <v>49.392</v>
      </c>
      <c r="P53" s="15">
        <f t="shared" ref="P53:P57" si="32">(0.24+0.72)*G53*2</f>
        <v>92.16</v>
      </c>
      <c r="Q53" s="15">
        <f>(K53*2+0.3)*0.15/2*G53</f>
        <v>20.088</v>
      </c>
      <c r="R53" s="15">
        <f t="shared" ref="R53:R57" si="33">((K53+0.3)*2+(0.24+1.44+0.5)*1*2)*(0.24+1.44+0.5)*0.5*G53-O53-3.14*0.72*0.72*G53</f>
        <v>408.231552</v>
      </c>
      <c r="S53" s="15">
        <f t="shared" ref="S53:S57" si="34">N53-O53-Q53-R53-3.14*0.72*0.72*G53</f>
        <v>99.9065760000001</v>
      </c>
      <c r="XFC53"/>
    </row>
    <row r="54" s="1" customFormat="1" spans="2:16383">
      <c r="B54" s="14" t="s">
        <v>164</v>
      </c>
      <c r="C54" s="14" t="s">
        <v>137</v>
      </c>
      <c r="D54" s="14" t="s">
        <v>165</v>
      </c>
      <c r="E54" s="14"/>
      <c r="F54" s="25"/>
      <c r="G54" s="15"/>
      <c r="H54" s="15"/>
      <c r="I54" s="15"/>
      <c r="J54" s="31"/>
      <c r="K54" s="15"/>
      <c r="L54" s="15"/>
      <c r="M54" s="15"/>
      <c r="N54" s="15"/>
      <c r="O54" s="15"/>
      <c r="P54" s="15"/>
      <c r="Q54" s="15"/>
      <c r="R54" s="15"/>
      <c r="S54" s="15"/>
      <c r="XFC54"/>
    </row>
    <row r="55" s="1" customFormat="1" spans="2:16383">
      <c r="B55" s="14"/>
      <c r="C55" s="14"/>
      <c r="D55" s="14"/>
      <c r="E55" s="14" t="s">
        <v>135</v>
      </c>
      <c r="F55" s="25">
        <f>50.1+1</f>
        <v>51.1</v>
      </c>
      <c r="G55" s="15">
        <f>F55-1</f>
        <v>50.1</v>
      </c>
      <c r="H55" s="15">
        <f>(20.01+19.83)/2-1.48</f>
        <v>18.44</v>
      </c>
      <c r="I55" s="15">
        <f>(16.14+16.21)/2-0.12-0.24-0.15</f>
        <v>15.665</v>
      </c>
      <c r="J55" s="31">
        <f t="shared" si="29"/>
        <v>2.775</v>
      </c>
      <c r="K55" s="15">
        <f t="shared" si="30"/>
        <v>2.64</v>
      </c>
      <c r="L55" s="15">
        <f t="shared" si="26"/>
        <v>8.19</v>
      </c>
      <c r="M55" s="15">
        <f t="shared" si="27"/>
        <v>15.026625</v>
      </c>
      <c r="N55" s="15">
        <f t="shared" si="28"/>
        <v>787.057050937501</v>
      </c>
      <c r="O55" s="15">
        <f t="shared" si="31"/>
        <v>51.5529</v>
      </c>
      <c r="P55" s="15">
        <f t="shared" si="32"/>
        <v>96.192</v>
      </c>
      <c r="Q55" s="15">
        <f>(K55*2+0.3)*0.15/2*G55</f>
        <v>20.96685</v>
      </c>
      <c r="R55" s="15">
        <f t="shared" si="33"/>
        <v>426.0916824</v>
      </c>
      <c r="S55" s="15">
        <f t="shared" si="34"/>
        <v>206.894040937501</v>
      </c>
      <c r="XFC55"/>
    </row>
    <row r="56" s="1" customFormat="1" spans="2:16383">
      <c r="B56" s="14" t="s">
        <v>166</v>
      </c>
      <c r="C56" s="14" t="s">
        <v>137</v>
      </c>
      <c r="D56" s="14" t="s">
        <v>167</v>
      </c>
      <c r="E56" s="14"/>
      <c r="F56" s="25"/>
      <c r="G56" s="15"/>
      <c r="H56" s="15"/>
      <c r="I56" s="15"/>
      <c r="J56" s="31"/>
      <c r="K56" s="15"/>
      <c r="L56" s="15"/>
      <c r="M56" s="15"/>
      <c r="N56" s="15"/>
      <c r="O56" s="15"/>
      <c r="P56" s="15"/>
      <c r="Q56" s="15"/>
      <c r="R56" s="15"/>
      <c r="S56" s="15"/>
      <c r="XFC56"/>
    </row>
    <row r="57" s="1" customFormat="1" spans="2:16383">
      <c r="B57" s="14"/>
      <c r="C57" s="14"/>
      <c r="D57" s="14"/>
      <c r="E57" s="14" t="s">
        <v>135</v>
      </c>
      <c r="F57" s="25">
        <f>44.2+1</f>
        <v>45.2</v>
      </c>
      <c r="G57" s="15">
        <f>F57-1</f>
        <v>44.2</v>
      </c>
      <c r="H57" s="15">
        <f>(20.01+20.34)/2-1.48</f>
        <v>18.695</v>
      </c>
      <c r="I57" s="15">
        <f>(16.14+16.06)/2-0.12-0.24-0.15</f>
        <v>15.59</v>
      </c>
      <c r="J57" s="31">
        <f>H57-I57</f>
        <v>3.105</v>
      </c>
      <c r="K57" s="15">
        <f t="shared" si="30"/>
        <v>2.64</v>
      </c>
      <c r="L57" s="15">
        <f>K57+J57*1*2</f>
        <v>8.85</v>
      </c>
      <c r="M57" s="15">
        <f>(K57+L57)*J57/2</f>
        <v>17.838225</v>
      </c>
      <c r="N57" s="15">
        <f>M57*F57*1.025</f>
        <v>826.44496425</v>
      </c>
      <c r="O57" s="15">
        <f t="shared" si="31"/>
        <v>45.4818</v>
      </c>
      <c r="P57" s="15">
        <f t="shared" si="32"/>
        <v>84.864</v>
      </c>
      <c r="Q57" s="15">
        <f>(K57*2+0.3)*0.15/2*G57</f>
        <v>18.4977</v>
      </c>
      <c r="R57" s="15">
        <f t="shared" si="33"/>
        <v>375.9132208</v>
      </c>
      <c r="S57" s="15">
        <f t="shared" si="34"/>
        <v>314.60454425</v>
      </c>
      <c r="XFC57"/>
    </row>
    <row r="58" s="1" customFormat="1" spans="2:16383">
      <c r="B58" s="14" t="s">
        <v>168</v>
      </c>
      <c r="C58" s="14" t="s">
        <v>137</v>
      </c>
      <c r="D58" s="14" t="s">
        <v>169</v>
      </c>
      <c r="E58" s="14"/>
      <c r="F58" s="25"/>
      <c r="G58" s="15"/>
      <c r="H58" s="15"/>
      <c r="I58" s="15"/>
      <c r="J58" s="31"/>
      <c r="K58" s="15"/>
      <c r="L58" s="15"/>
      <c r="M58" s="15"/>
      <c r="N58" s="15"/>
      <c r="O58" s="15"/>
      <c r="P58" s="15"/>
      <c r="Q58" s="15"/>
      <c r="R58" s="15"/>
      <c r="S58" s="15"/>
      <c r="XFC58"/>
    </row>
    <row r="59" s="1" customFormat="1" spans="2:16383">
      <c r="B59" s="14"/>
      <c r="C59" s="14"/>
      <c r="D59" s="14"/>
      <c r="E59" s="14" t="s">
        <v>135</v>
      </c>
      <c r="F59" s="25">
        <f>48+1</f>
        <v>49</v>
      </c>
      <c r="G59" s="15">
        <f>F59-1</f>
        <v>48</v>
      </c>
      <c r="H59" s="15">
        <f>(20.47+20.34)/2-1.48</f>
        <v>18.925</v>
      </c>
      <c r="I59" s="15">
        <f>(16+16.06)/2-0.12-0.24-0.15</f>
        <v>15.52</v>
      </c>
      <c r="J59" s="31">
        <f>H59-I59</f>
        <v>3.405</v>
      </c>
      <c r="K59" s="15">
        <f>1.2+0.12*2+0.6*2</f>
        <v>2.64</v>
      </c>
      <c r="L59" s="15">
        <f>K59+J59*1*2</f>
        <v>9.45</v>
      </c>
      <c r="M59" s="15">
        <f>(K59+L59)*J59/2</f>
        <v>20.583225</v>
      </c>
      <c r="N59" s="15">
        <f>M59*F59*1.025</f>
        <v>1033.792475625</v>
      </c>
      <c r="O59" s="15">
        <f>1.029*G59</f>
        <v>49.392</v>
      </c>
      <c r="P59" s="15">
        <f>(0.24+0.72)*G59*2</f>
        <v>92.16</v>
      </c>
      <c r="Q59" s="15">
        <f>(K59*2+0.3)*0.15/2*G59</f>
        <v>20.088</v>
      </c>
      <c r="R59" s="15">
        <f>((K59+0.3)*2+(0.24+1.44+0.5)*1*2)*(0.24+1.44+0.5)*0.5*G59-O59-3.14*0.72*0.72*G59</f>
        <v>408.231552</v>
      </c>
      <c r="S59" s="15">
        <f>N59-O59-Q59-R59-3.14*0.72*0.72*G59</f>
        <v>477.947675625</v>
      </c>
      <c r="XFC59"/>
    </row>
    <row r="60" s="1" customFormat="1" spans="2:16383">
      <c r="B60" s="14" t="s">
        <v>170</v>
      </c>
      <c r="C60" s="14" t="s">
        <v>142</v>
      </c>
      <c r="D60" s="14" t="s">
        <v>171</v>
      </c>
      <c r="E60" s="14"/>
      <c r="F60" s="25"/>
      <c r="G60" s="15"/>
      <c r="H60" s="15"/>
      <c r="I60" s="15"/>
      <c r="J60" s="31"/>
      <c r="K60" s="15"/>
      <c r="L60" s="15"/>
      <c r="M60" s="15"/>
      <c r="N60" s="15"/>
      <c r="O60" s="15"/>
      <c r="P60" s="15"/>
      <c r="Q60" s="15"/>
      <c r="R60" s="15"/>
      <c r="S60" s="15"/>
      <c r="XFC60"/>
    </row>
    <row r="61" s="1" customFormat="1" spans="2:16383">
      <c r="B61" s="14"/>
      <c r="C61" s="14"/>
      <c r="D61" s="14"/>
      <c r="E61" s="14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XFC61"/>
    </row>
    <row r="62" s="1" customFormat="1" spans="2:16383">
      <c r="B62" s="14"/>
      <c r="C62" s="14"/>
      <c r="D62" s="14"/>
      <c r="E62" s="14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XFC62"/>
    </row>
    <row r="63" s="1" customFormat="1" spans="2:16383">
      <c r="B63" s="14"/>
      <c r="C63" s="14"/>
      <c r="D63" s="14"/>
      <c r="E63" s="14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XFC63"/>
    </row>
    <row r="64" s="1" customFormat="1" spans="2:16383">
      <c r="B64" s="14" t="s">
        <v>172</v>
      </c>
      <c r="C64" s="14" t="s">
        <v>142</v>
      </c>
      <c r="D64" s="14" t="s">
        <v>173</v>
      </c>
      <c r="E64" s="14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XFC64"/>
    </row>
    <row r="65" s="1" customFormat="1" spans="2:16383">
      <c r="B65" s="14"/>
      <c r="C65" s="14"/>
      <c r="D65" s="14"/>
      <c r="E65" s="14" t="s">
        <v>159</v>
      </c>
      <c r="F65" s="15">
        <f>60.1+1</f>
        <v>61.1</v>
      </c>
      <c r="G65" s="15">
        <f>F65-1.2</f>
        <v>59.9</v>
      </c>
      <c r="H65" s="15">
        <f>(20.3+20.1)/2-1.48</f>
        <v>18.72</v>
      </c>
      <c r="I65" s="15">
        <f>(16+16.24)/2-0.1-0.2-0.15</f>
        <v>15.67</v>
      </c>
      <c r="J65" s="31">
        <f t="shared" ref="J65:J69" si="35">H65-I65</f>
        <v>3.05000000000001</v>
      </c>
      <c r="K65" s="15">
        <f t="shared" ref="K65:K69" si="36">1+0.1*2+0.45*2</f>
        <v>2.1</v>
      </c>
      <c r="L65" s="15">
        <f t="shared" ref="L65:L69" si="37">K65+J65*1*2</f>
        <v>8.20000000000001</v>
      </c>
      <c r="M65" s="15">
        <f t="shared" ref="M65:M69" si="38">(K65+L65)*J65/2</f>
        <v>15.7075</v>
      </c>
      <c r="N65" s="15">
        <f t="shared" ref="N65:N69" si="39">M65*F65*1.025</f>
        <v>983.721456250003</v>
      </c>
      <c r="O65" s="15">
        <f t="shared" ref="O65:O69" si="40">0.715*G65</f>
        <v>42.8285</v>
      </c>
      <c r="P65" s="15">
        <f t="shared" ref="P65:P69" si="41">(0.2+0.6)*G65*2</f>
        <v>95.84</v>
      </c>
      <c r="Q65" s="15">
        <f>(K65*2+0.3)*0.15/2*G65</f>
        <v>20.21625</v>
      </c>
      <c r="R65" s="15">
        <f>((K65+0.3)*2+(0.2+1.2+0.5)*1*2)*(0.2+1.2+0.5)*0.5*G65-O65-3.14*0.6*0.6*G65</f>
        <v>378.84354</v>
      </c>
      <c r="S65" s="15">
        <f t="shared" ref="S65:S69" si="42">N65-O65-Q65-R65-3.14*0.6*0.6*G65</f>
        <v>474.122206250003</v>
      </c>
      <c r="XFC65"/>
    </row>
    <row r="66" s="1" customFormat="1" spans="2:16383">
      <c r="B66" s="14" t="s">
        <v>174</v>
      </c>
      <c r="C66" s="14" t="s">
        <v>120</v>
      </c>
      <c r="D66" s="14" t="s">
        <v>175</v>
      </c>
      <c r="E66" s="14"/>
      <c r="F66" s="15"/>
      <c r="G66" s="15"/>
      <c r="H66" s="15"/>
      <c r="I66" s="15"/>
      <c r="J66" s="31"/>
      <c r="K66" s="15"/>
      <c r="L66" s="15"/>
      <c r="M66" s="15"/>
      <c r="N66" s="15"/>
      <c r="O66" s="15"/>
      <c r="P66" s="15"/>
      <c r="Q66" s="15"/>
      <c r="R66" s="15"/>
      <c r="S66" s="15"/>
      <c r="XFC66"/>
    </row>
    <row r="67" s="1" customFormat="1" spans="2:16383">
      <c r="B67" s="14"/>
      <c r="C67" s="14"/>
      <c r="D67" s="14"/>
      <c r="E67" s="14" t="s">
        <v>159</v>
      </c>
      <c r="F67" s="15">
        <f>42.3+1</f>
        <v>43.3</v>
      </c>
      <c r="G67" s="15">
        <f>F67-1.2</f>
        <v>42.1</v>
      </c>
      <c r="H67" s="15">
        <f>(19.98+20.1)/2-1.48</f>
        <v>18.56</v>
      </c>
      <c r="I67" s="15">
        <f>(16.38+16.24)/2-0.1-0.2-0.15</f>
        <v>15.86</v>
      </c>
      <c r="J67" s="31">
        <f t="shared" si="35"/>
        <v>2.7</v>
      </c>
      <c r="K67" s="15">
        <f t="shared" si="36"/>
        <v>2.1</v>
      </c>
      <c r="L67" s="15">
        <f t="shared" si="37"/>
        <v>7.5</v>
      </c>
      <c r="M67" s="15">
        <f t="shared" si="38"/>
        <v>12.96</v>
      </c>
      <c r="N67" s="15">
        <f t="shared" si="39"/>
        <v>575.1972</v>
      </c>
      <c r="O67" s="15">
        <f t="shared" si="40"/>
        <v>30.1015</v>
      </c>
      <c r="P67" s="15">
        <f t="shared" si="41"/>
        <v>67.36</v>
      </c>
      <c r="Q67" s="15">
        <f>(K67*2+0.3)*0.15/2*G67</f>
        <v>14.20875</v>
      </c>
      <c r="R67" s="15">
        <f>((K67+0.3)*2+(0.2+1.2+0.5)*1*2)*(0.2+1.2+0.5)*0.5*G67-O67-3.14*0.6*0.6*G67</f>
        <v>266.26566</v>
      </c>
      <c r="S67" s="15">
        <f t="shared" si="42"/>
        <v>217.03145</v>
      </c>
      <c r="XFC67"/>
    </row>
    <row r="68" s="1" customFormat="1" spans="2:16383">
      <c r="B68" s="14" t="s">
        <v>176</v>
      </c>
      <c r="C68" s="14" t="s">
        <v>120</v>
      </c>
      <c r="D68" s="14" t="s">
        <v>177</v>
      </c>
      <c r="E68" s="14"/>
      <c r="F68" s="15"/>
      <c r="G68" s="15"/>
      <c r="H68" s="15"/>
      <c r="I68" s="15"/>
      <c r="J68" s="31"/>
      <c r="K68" s="15"/>
      <c r="L68" s="15"/>
      <c r="M68" s="15"/>
      <c r="N68" s="15"/>
      <c r="O68" s="15"/>
      <c r="P68" s="15"/>
      <c r="Q68" s="15"/>
      <c r="R68" s="15"/>
      <c r="S68" s="15"/>
      <c r="XFC68"/>
    </row>
    <row r="69" s="1" customFormat="1" spans="2:16383">
      <c r="B69" s="14"/>
      <c r="C69" s="14"/>
      <c r="D69" s="14"/>
      <c r="E69" s="14" t="s">
        <v>159</v>
      </c>
      <c r="F69" s="15">
        <f>38.2+1</f>
        <v>39.2</v>
      </c>
      <c r="G69" s="15">
        <f>F69-1.2</f>
        <v>38</v>
      </c>
      <c r="H69" s="15">
        <f>(19.98+19.86)/2-1.48</f>
        <v>18.44</v>
      </c>
      <c r="I69" s="15">
        <f>(16.38+16.52)/2-0.1-0.2-0.15</f>
        <v>16</v>
      </c>
      <c r="J69" s="31">
        <f t="shared" si="35"/>
        <v>2.44</v>
      </c>
      <c r="K69" s="15">
        <f t="shared" si="36"/>
        <v>2.1</v>
      </c>
      <c r="L69" s="15">
        <f t="shared" si="37"/>
        <v>6.98000000000001</v>
      </c>
      <c r="M69" s="15">
        <f t="shared" si="38"/>
        <v>11.0776</v>
      </c>
      <c r="N69" s="15">
        <f t="shared" si="39"/>
        <v>445.097968000001</v>
      </c>
      <c r="O69" s="15">
        <f t="shared" si="40"/>
        <v>27.17</v>
      </c>
      <c r="P69" s="15">
        <f t="shared" si="41"/>
        <v>60.8</v>
      </c>
      <c r="Q69" s="15">
        <f>(K69*2+0.3)*0.15/2*G69</f>
        <v>12.825</v>
      </c>
      <c r="R69" s="15">
        <f>((K69+0.3)*2+(0.2+1.2+0.5)*1*2)*(0.2+1.2+0.5)*0.5*G69-O69-3.14*0.6*0.6*G69</f>
        <v>240.3348</v>
      </c>
      <c r="S69" s="15">
        <f t="shared" si="42"/>
        <v>121.812968000001</v>
      </c>
      <c r="XFC69"/>
    </row>
    <row r="70" s="1" customFormat="1" spans="2:16383">
      <c r="B70" s="14" t="s">
        <v>178</v>
      </c>
      <c r="C70" s="14" t="s">
        <v>120</v>
      </c>
      <c r="D70" s="14" t="s">
        <v>179</v>
      </c>
      <c r="E70" s="14"/>
      <c r="F70" s="15"/>
      <c r="G70" s="15"/>
      <c r="H70" s="15"/>
      <c r="I70" s="15"/>
      <c r="J70" s="31"/>
      <c r="K70" s="15"/>
      <c r="L70" s="15"/>
      <c r="M70" s="15"/>
      <c r="N70" s="15"/>
      <c r="O70" s="15"/>
      <c r="P70" s="15"/>
      <c r="Q70" s="15"/>
      <c r="R70" s="15"/>
      <c r="S70" s="15"/>
      <c r="XFC70"/>
    </row>
    <row r="71" s="1" customFormat="1" ht="14.4" customHeight="1" spans="2:16383">
      <c r="B71" s="14"/>
      <c r="C71" s="14"/>
      <c r="D71" s="14"/>
      <c r="E71" s="14" t="s">
        <v>122</v>
      </c>
      <c r="F71" s="15">
        <f>39+1</f>
        <v>40</v>
      </c>
      <c r="G71" s="15">
        <f>F71-1.2</f>
        <v>38.8</v>
      </c>
      <c r="H71" s="15">
        <f>(19.86+19.74)/2-1.48</f>
        <v>18.32</v>
      </c>
      <c r="I71" s="15">
        <f>(16.52+16.86)/2-0.08-0.16-0.15</f>
        <v>16.3</v>
      </c>
      <c r="J71" s="31">
        <f>H71-I71</f>
        <v>2.02</v>
      </c>
      <c r="K71" s="15">
        <f>0.8+0.16+0.45*2</f>
        <v>1.86</v>
      </c>
      <c r="L71" s="15">
        <f>K71+J71*1*2</f>
        <v>5.89999999999999</v>
      </c>
      <c r="M71" s="15">
        <f>(K71+L71)*J71/2</f>
        <v>7.83759999999998</v>
      </c>
      <c r="N71" s="15">
        <f>M71*F71*1.025</f>
        <v>321.341599999999</v>
      </c>
      <c r="O71" s="15">
        <f>0.457*G71</f>
        <v>17.7316</v>
      </c>
      <c r="P71" s="15">
        <f>(0.16+0.48)*G71*2</f>
        <v>49.664</v>
      </c>
      <c r="Q71" s="15">
        <f>(K71*2+0.3)*0.15/2*G71</f>
        <v>11.6982</v>
      </c>
      <c r="R71" s="15">
        <f>((K71+0.3)*2+(0.16+0.96+0.5)*1*2)*(0.16+0.96+0.5)*0.5*G71-O71-3.14*0.48*0.48*G71</f>
        <v>191.7939872</v>
      </c>
      <c r="S71" s="15">
        <f>N71-O71-Q71-R71-3.14*0.48*0.48*G71</f>
        <v>72.0477199999991</v>
      </c>
      <c r="XFC71"/>
    </row>
    <row r="72" s="1" customFormat="1" ht="14.4" customHeight="1" spans="2:16383">
      <c r="B72" s="14" t="s">
        <v>180</v>
      </c>
      <c r="C72" s="14" t="s">
        <v>120</v>
      </c>
      <c r="D72" s="14" t="s">
        <v>181</v>
      </c>
      <c r="E72" s="14"/>
      <c r="F72" s="15"/>
      <c r="G72" s="15"/>
      <c r="H72" s="15"/>
      <c r="I72" s="15"/>
      <c r="J72" s="31"/>
      <c r="K72" s="15"/>
      <c r="L72" s="15"/>
      <c r="M72" s="15"/>
      <c r="N72" s="15"/>
      <c r="O72" s="15"/>
      <c r="P72" s="15"/>
      <c r="Q72" s="15"/>
      <c r="R72" s="15"/>
      <c r="S72" s="15"/>
      <c r="XFC72"/>
    </row>
    <row r="73" s="1" customFormat="1" ht="14.4" customHeight="1" spans="2:16383">
      <c r="B73" s="14"/>
      <c r="C73" s="14"/>
      <c r="D73" s="14"/>
      <c r="E73" s="14" t="s">
        <v>122</v>
      </c>
      <c r="F73" s="15">
        <f>38.6+1</f>
        <v>39.6</v>
      </c>
      <c r="G73" s="15">
        <f>F73-1.2</f>
        <v>38.4</v>
      </c>
      <c r="H73" s="15">
        <f>(19.62+19.74)/2-1.48</f>
        <v>18.2</v>
      </c>
      <c r="I73" s="15">
        <f>(17+16.86)/2-0.08-0.16-0.15</f>
        <v>16.54</v>
      </c>
      <c r="J73" s="30">
        <v>1.97</v>
      </c>
      <c r="K73" s="15">
        <f>0.8+0.16+0.45*2</f>
        <v>1.86</v>
      </c>
      <c r="L73" s="15">
        <f>K73+J73*1*2</f>
        <v>5.8</v>
      </c>
      <c r="M73" s="15">
        <f>(K73+L73)*J73/2</f>
        <v>7.5451</v>
      </c>
      <c r="N73" s="15">
        <f>M73*F73*1.025</f>
        <v>306.255609</v>
      </c>
      <c r="O73" s="15">
        <f>0.457*G73</f>
        <v>17.5488</v>
      </c>
      <c r="P73" s="15">
        <f>(0.16+0.48)*G73*2</f>
        <v>49.152</v>
      </c>
      <c r="Q73" s="15">
        <f>(K73*2+0.3)*0.15/2*G73</f>
        <v>11.5776</v>
      </c>
      <c r="R73" s="15">
        <f>((K73+0.3)*2+(0.16+0.96+0.5)*1*2)*(0.16+0.96+0.5)*0.5*G73-O73-3.14*0.48*0.48*G73</f>
        <v>189.8167296</v>
      </c>
      <c r="S73" s="15">
        <f>N73-O73-Q73-R73-3.14*0.48*0.48*G73</f>
        <v>59.5317689999999</v>
      </c>
      <c r="XFC73"/>
    </row>
    <row r="74" s="1" customFormat="1" ht="14.4" customHeight="1" spans="2:16383">
      <c r="B74" s="14" t="s">
        <v>182</v>
      </c>
      <c r="C74" s="14" t="s">
        <v>120</v>
      </c>
      <c r="D74" s="14" t="s">
        <v>183</v>
      </c>
      <c r="E74" s="14"/>
      <c r="F74" s="15"/>
      <c r="G74" s="15"/>
      <c r="H74" s="15"/>
      <c r="I74" s="15"/>
      <c r="J74" s="30"/>
      <c r="K74" s="15"/>
      <c r="L74" s="15"/>
      <c r="M74" s="15"/>
      <c r="N74" s="15"/>
      <c r="O74" s="15"/>
      <c r="P74" s="15"/>
      <c r="Q74" s="15"/>
      <c r="R74" s="15"/>
      <c r="S74" s="15"/>
      <c r="XFC74"/>
    </row>
    <row r="75" s="1" customFormat="1" ht="12.45" customHeight="1" spans="2:16383">
      <c r="B75" s="14"/>
      <c r="C75" s="14"/>
      <c r="D75" s="14"/>
      <c r="E75" s="14"/>
      <c r="F75" s="15"/>
      <c r="G75" s="15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XFC75"/>
    </row>
    <row r="76" ht="42" customHeight="1" spans="2:19"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37">
        <f t="shared" ref="N76:S76" si="43">SUM(N5:N75)</f>
        <v>13991.56064675</v>
      </c>
      <c r="O76" s="37">
        <f t="shared" si="43"/>
        <v>797.4886</v>
      </c>
      <c r="P76" s="37">
        <f t="shared" si="43"/>
        <v>1802.752</v>
      </c>
      <c r="Q76" s="37">
        <f t="shared" si="43"/>
        <v>403.6581</v>
      </c>
      <c r="R76" s="37">
        <f t="shared" si="43"/>
        <v>7378.129336</v>
      </c>
      <c r="S76" s="37">
        <f t="shared" si="43"/>
        <v>4150.57734675</v>
      </c>
    </row>
    <row r="77" ht="40" customHeight="1" spans="2:19">
      <c r="B77" s="34" t="s">
        <v>120</v>
      </c>
      <c r="C77" s="34" t="s">
        <v>184</v>
      </c>
      <c r="D77" s="34"/>
      <c r="E77" s="34" t="s">
        <v>185</v>
      </c>
      <c r="F77" s="34">
        <f>F5+F7+F13+F15+F17+F33+F35+F37+F39+F45+F47+F71+F73</f>
        <v>607.2</v>
      </c>
      <c r="G77" s="34">
        <f>G5+G7+G13+G15+G17+G33+G35+G37+G39+G45+G47+G71+G73</f>
        <v>592.2</v>
      </c>
      <c r="H77" s="34"/>
      <c r="I77" s="34"/>
      <c r="J77" s="34"/>
      <c r="K77" s="34"/>
      <c r="L77" s="34"/>
      <c r="M77" s="34"/>
      <c r="N77" s="34">
        <f>N5+N7+N13+N15+N17+N33+N35+N37+N39+N45+N47+N73+N71</f>
        <v>4806.984202125</v>
      </c>
      <c r="O77" s="34"/>
      <c r="P77" s="34"/>
      <c r="Q77" s="34">
        <f>Q5+Q7+Q13+Q15+Q17+Q33+Q35+Q37+Q39+Q45+Q47+Q71+Q73</f>
        <v>178.5483</v>
      </c>
      <c r="R77" s="34"/>
      <c r="S77" s="34">
        <f>S5+S7+S13+S15+S17+S33+S35+S37+S39+S45+S47+S71+S73</f>
        <v>1002.039982125</v>
      </c>
    </row>
    <row r="78" ht="27" customHeight="1" spans="2:19">
      <c r="B78" s="34" t="s">
        <v>137</v>
      </c>
      <c r="C78" s="34" t="s">
        <v>186</v>
      </c>
      <c r="D78" s="34"/>
      <c r="E78" s="34" t="s">
        <v>187</v>
      </c>
      <c r="F78" s="34">
        <f>F49+F51+F65+F67+F69</f>
        <v>237.8</v>
      </c>
      <c r="G78" s="34">
        <f>G49+G51+G65+G67+G69</f>
        <v>232</v>
      </c>
      <c r="H78" s="34"/>
      <c r="I78" s="34"/>
      <c r="J78" s="34"/>
      <c r="K78" s="34"/>
      <c r="L78" s="34"/>
      <c r="M78" s="34"/>
      <c r="N78" s="34">
        <f>N49+N51+N65+N67+N69</f>
        <v>2949.04868675</v>
      </c>
      <c r="O78" s="34"/>
      <c r="P78" s="34"/>
      <c r="Q78" s="34">
        <f>Q49+Q51+Q65+Q67+Q69</f>
        <v>78.3</v>
      </c>
      <c r="R78" s="34"/>
      <c r="S78" s="34">
        <f>S49+S51+S65+S67+S69</f>
        <v>975.308686750004</v>
      </c>
    </row>
    <row r="79" ht="30" customHeight="1" spans="2:19">
      <c r="B79" s="34"/>
      <c r="C79" s="34"/>
      <c r="D79" s="34"/>
      <c r="E79" s="34" t="s">
        <v>188</v>
      </c>
      <c r="F79" s="34">
        <f>F23+F25+F27+F53+F55+F57+F59</f>
        <v>357.8</v>
      </c>
      <c r="G79" s="34">
        <f>G59+G57+G55+G53+G27+G25+G23</f>
        <v>350.8</v>
      </c>
      <c r="H79" s="34"/>
      <c r="I79" s="34"/>
      <c r="J79" s="34"/>
      <c r="K79" s="34"/>
      <c r="L79" s="34"/>
      <c r="M79" s="34"/>
      <c r="N79" s="34">
        <f>N59+N57+N55+N53+N23+N25+N27</f>
        <v>6235.527757875</v>
      </c>
      <c r="O79" s="34"/>
      <c r="P79" s="34"/>
      <c r="Q79" s="34">
        <f>Q23+Q25+Q27+Q53+Q55+Q57+Q59</f>
        <v>146.8098</v>
      </c>
      <c r="R79" s="34"/>
      <c r="S79" s="34">
        <f>S23+S25+S27+S53+S55+S57+S59</f>
        <v>2173.228677875</v>
      </c>
    </row>
    <row r="80" ht="32" customHeight="1" spans="2:19">
      <c r="B80" s="35"/>
      <c r="C80" s="35"/>
      <c r="D80" s="35"/>
      <c r="E80" s="36"/>
      <c r="F80" s="36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</row>
  </sheetData>
  <mergeCells count="634">
    <mergeCell ref="B1:N1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64:C65"/>
    <mergeCell ref="C66:C67"/>
    <mergeCell ref="C68:C69"/>
    <mergeCell ref="C70:C71"/>
    <mergeCell ref="C72:C73"/>
    <mergeCell ref="C74:C75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D62:D63"/>
    <mergeCell ref="D64:D65"/>
    <mergeCell ref="D66:D67"/>
    <mergeCell ref="D68:D69"/>
    <mergeCell ref="D70:D71"/>
    <mergeCell ref="D72:D73"/>
    <mergeCell ref="D74:D75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E55:E56"/>
    <mergeCell ref="E57:E58"/>
    <mergeCell ref="E59:E60"/>
    <mergeCell ref="E61:E62"/>
    <mergeCell ref="E63:E64"/>
    <mergeCell ref="E65:E66"/>
    <mergeCell ref="E67:E68"/>
    <mergeCell ref="E69:E70"/>
    <mergeCell ref="E71:E72"/>
    <mergeCell ref="E73:E7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49:F50"/>
    <mergeCell ref="F51:F52"/>
    <mergeCell ref="F53:F54"/>
    <mergeCell ref="F55:F56"/>
    <mergeCell ref="F57:F58"/>
    <mergeCell ref="F59:F60"/>
    <mergeCell ref="F61:F62"/>
    <mergeCell ref="F63:F64"/>
    <mergeCell ref="F65:F66"/>
    <mergeCell ref="F67:F68"/>
    <mergeCell ref="F69:F70"/>
    <mergeCell ref="F71:F72"/>
    <mergeCell ref="F73:F7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G55:G56"/>
    <mergeCell ref="G57:G58"/>
    <mergeCell ref="G59:G60"/>
    <mergeCell ref="G61:G62"/>
    <mergeCell ref="G63:G64"/>
    <mergeCell ref="G65:G66"/>
    <mergeCell ref="G67:G68"/>
    <mergeCell ref="G69:G70"/>
    <mergeCell ref="G71:G72"/>
    <mergeCell ref="G73:G7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  <mergeCell ref="H45:H46"/>
    <mergeCell ref="H47:H48"/>
    <mergeCell ref="H49:H50"/>
    <mergeCell ref="H51:H52"/>
    <mergeCell ref="H53:H54"/>
    <mergeCell ref="H55:H56"/>
    <mergeCell ref="H57:H58"/>
    <mergeCell ref="H59:H60"/>
    <mergeCell ref="H61:H62"/>
    <mergeCell ref="H63:H64"/>
    <mergeCell ref="H65:H66"/>
    <mergeCell ref="H67:H68"/>
    <mergeCell ref="H69:H70"/>
    <mergeCell ref="H71:H72"/>
    <mergeCell ref="H73:H74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9:I40"/>
    <mergeCell ref="I41:I42"/>
    <mergeCell ref="I43:I44"/>
    <mergeCell ref="I45:I46"/>
    <mergeCell ref="I47:I48"/>
    <mergeCell ref="I49:I50"/>
    <mergeCell ref="I51:I52"/>
    <mergeCell ref="I53:I54"/>
    <mergeCell ref="I55:I56"/>
    <mergeCell ref="I57:I58"/>
    <mergeCell ref="I59:I60"/>
    <mergeCell ref="I61:I62"/>
    <mergeCell ref="I63:I64"/>
    <mergeCell ref="I65:I66"/>
    <mergeCell ref="I67:I68"/>
    <mergeCell ref="I69:I70"/>
    <mergeCell ref="I71:I72"/>
    <mergeCell ref="I73:I74"/>
    <mergeCell ref="J5:J6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J31:J32"/>
    <mergeCell ref="J33:J34"/>
    <mergeCell ref="J35:J36"/>
    <mergeCell ref="J37:J38"/>
    <mergeCell ref="J39:J40"/>
    <mergeCell ref="J41:J42"/>
    <mergeCell ref="J43:J44"/>
    <mergeCell ref="J45:J46"/>
    <mergeCell ref="J47:J48"/>
    <mergeCell ref="J49:J50"/>
    <mergeCell ref="J51:J52"/>
    <mergeCell ref="J53:J54"/>
    <mergeCell ref="J55:J56"/>
    <mergeCell ref="J57:J58"/>
    <mergeCell ref="J59:J60"/>
    <mergeCell ref="J61:J62"/>
    <mergeCell ref="J63:J64"/>
    <mergeCell ref="J65:J66"/>
    <mergeCell ref="J67:J68"/>
    <mergeCell ref="J69:J70"/>
    <mergeCell ref="J71:J72"/>
    <mergeCell ref="J73:J74"/>
    <mergeCell ref="K5:K6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1:K32"/>
    <mergeCell ref="K33:K34"/>
    <mergeCell ref="K35:K36"/>
    <mergeCell ref="K37:K38"/>
    <mergeCell ref="K39:K40"/>
    <mergeCell ref="K41:K42"/>
    <mergeCell ref="K43:K44"/>
    <mergeCell ref="K45:K46"/>
    <mergeCell ref="K47:K48"/>
    <mergeCell ref="K49:K50"/>
    <mergeCell ref="K51:K52"/>
    <mergeCell ref="K53:K54"/>
    <mergeCell ref="K55:K56"/>
    <mergeCell ref="K57:K58"/>
    <mergeCell ref="K59:K60"/>
    <mergeCell ref="K61:K62"/>
    <mergeCell ref="K63:K64"/>
    <mergeCell ref="K65:K66"/>
    <mergeCell ref="K67:K68"/>
    <mergeCell ref="K69:K70"/>
    <mergeCell ref="K71:K72"/>
    <mergeCell ref="K73:K74"/>
    <mergeCell ref="L5:L6"/>
    <mergeCell ref="L7:L8"/>
    <mergeCell ref="L9:L10"/>
    <mergeCell ref="L11:L12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L33:L34"/>
    <mergeCell ref="L35:L36"/>
    <mergeCell ref="L37:L38"/>
    <mergeCell ref="L39:L40"/>
    <mergeCell ref="L41:L42"/>
    <mergeCell ref="L43:L44"/>
    <mergeCell ref="L45:L46"/>
    <mergeCell ref="L47:L48"/>
    <mergeCell ref="L49:L50"/>
    <mergeCell ref="L51:L52"/>
    <mergeCell ref="L53:L54"/>
    <mergeCell ref="L55:L56"/>
    <mergeCell ref="L57:L58"/>
    <mergeCell ref="L59:L60"/>
    <mergeCell ref="L61:L62"/>
    <mergeCell ref="L63:L64"/>
    <mergeCell ref="L65:L66"/>
    <mergeCell ref="L67:L68"/>
    <mergeCell ref="L69:L70"/>
    <mergeCell ref="L71:L72"/>
    <mergeCell ref="L73:L74"/>
    <mergeCell ref="M5:M6"/>
    <mergeCell ref="M7:M8"/>
    <mergeCell ref="M9:M10"/>
    <mergeCell ref="M11:M12"/>
    <mergeCell ref="M13:M14"/>
    <mergeCell ref="M15:M16"/>
    <mergeCell ref="M17:M18"/>
    <mergeCell ref="M19:M20"/>
    <mergeCell ref="M21:M22"/>
    <mergeCell ref="M23:M24"/>
    <mergeCell ref="M25:M26"/>
    <mergeCell ref="M27:M28"/>
    <mergeCell ref="M29:M30"/>
    <mergeCell ref="M31:M32"/>
    <mergeCell ref="M33:M34"/>
    <mergeCell ref="M35:M36"/>
    <mergeCell ref="M37:M38"/>
    <mergeCell ref="M39:M40"/>
    <mergeCell ref="M41:M42"/>
    <mergeCell ref="M43:M44"/>
    <mergeCell ref="M45:M46"/>
    <mergeCell ref="M47:M48"/>
    <mergeCell ref="M49:M50"/>
    <mergeCell ref="M51:M52"/>
    <mergeCell ref="M53:M54"/>
    <mergeCell ref="M55:M56"/>
    <mergeCell ref="M57:M58"/>
    <mergeCell ref="M59:M60"/>
    <mergeCell ref="M61:M62"/>
    <mergeCell ref="M63:M64"/>
    <mergeCell ref="M65:M66"/>
    <mergeCell ref="M67:M68"/>
    <mergeCell ref="M69:M70"/>
    <mergeCell ref="M71:M72"/>
    <mergeCell ref="M73:M74"/>
    <mergeCell ref="N5:N6"/>
    <mergeCell ref="N7:N8"/>
    <mergeCell ref="N9:N10"/>
    <mergeCell ref="N11:N12"/>
    <mergeCell ref="N13:N14"/>
    <mergeCell ref="N15:N16"/>
    <mergeCell ref="N17:N18"/>
    <mergeCell ref="N19:N20"/>
    <mergeCell ref="N21:N22"/>
    <mergeCell ref="N23:N24"/>
    <mergeCell ref="N25:N26"/>
    <mergeCell ref="N27:N28"/>
    <mergeCell ref="N29:N30"/>
    <mergeCell ref="N31:N32"/>
    <mergeCell ref="N33:N34"/>
    <mergeCell ref="N35:N36"/>
    <mergeCell ref="N37:N38"/>
    <mergeCell ref="N39:N40"/>
    <mergeCell ref="N41:N42"/>
    <mergeCell ref="N43:N44"/>
    <mergeCell ref="N45:N46"/>
    <mergeCell ref="N47:N48"/>
    <mergeCell ref="N49:N50"/>
    <mergeCell ref="N51:N52"/>
    <mergeCell ref="N53:N54"/>
    <mergeCell ref="N55:N56"/>
    <mergeCell ref="N57:N58"/>
    <mergeCell ref="N59:N60"/>
    <mergeCell ref="N61:N62"/>
    <mergeCell ref="N63:N64"/>
    <mergeCell ref="N65:N66"/>
    <mergeCell ref="N67:N68"/>
    <mergeCell ref="N69:N70"/>
    <mergeCell ref="N71:N72"/>
    <mergeCell ref="N73:N74"/>
    <mergeCell ref="O5:O6"/>
    <mergeCell ref="O7:O8"/>
    <mergeCell ref="O9:O10"/>
    <mergeCell ref="O11:O12"/>
    <mergeCell ref="O13:O14"/>
    <mergeCell ref="O15:O16"/>
    <mergeCell ref="O17:O18"/>
    <mergeCell ref="O19:O20"/>
    <mergeCell ref="O21:O22"/>
    <mergeCell ref="O23:O24"/>
    <mergeCell ref="O25:O26"/>
    <mergeCell ref="O27:O28"/>
    <mergeCell ref="O29:O30"/>
    <mergeCell ref="O31:O32"/>
    <mergeCell ref="O33:O34"/>
    <mergeCell ref="O35:O36"/>
    <mergeCell ref="O37:O38"/>
    <mergeCell ref="O39:O40"/>
    <mergeCell ref="O41:O42"/>
    <mergeCell ref="O43:O44"/>
    <mergeCell ref="O45:O46"/>
    <mergeCell ref="O47:O48"/>
    <mergeCell ref="O49:O50"/>
    <mergeCell ref="O51:O52"/>
    <mergeCell ref="O53:O54"/>
    <mergeCell ref="O55:O56"/>
    <mergeCell ref="O57:O58"/>
    <mergeCell ref="O59:O60"/>
    <mergeCell ref="O61:O62"/>
    <mergeCell ref="O63:O64"/>
    <mergeCell ref="O65:O66"/>
    <mergeCell ref="O67:O68"/>
    <mergeCell ref="O69:O70"/>
    <mergeCell ref="O71:O72"/>
    <mergeCell ref="O73:O74"/>
    <mergeCell ref="P5:P6"/>
    <mergeCell ref="P7:P8"/>
    <mergeCell ref="P9:P10"/>
    <mergeCell ref="P11:P12"/>
    <mergeCell ref="P13:P14"/>
    <mergeCell ref="P15:P16"/>
    <mergeCell ref="P17:P18"/>
    <mergeCell ref="P19:P20"/>
    <mergeCell ref="P21:P22"/>
    <mergeCell ref="P23:P24"/>
    <mergeCell ref="P25:P26"/>
    <mergeCell ref="P27:P28"/>
    <mergeCell ref="P29:P30"/>
    <mergeCell ref="P31:P32"/>
    <mergeCell ref="P33:P34"/>
    <mergeCell ref="P35:P36"/>
    <mergeCell ref="P37:P38"/>
    <mergeCell ref="P39:P40"/>
    <mergeCell ref="P41:P42"/>
    <mergeCell ref="P43:P44"/>
    <mergeCell ref="P45:P46"/>
    <mergeCell ref="P47:P48"/>
    <mergeCell ref="P49:P50"/>
    <mergeCell ref="P51:P52"/>
    <mergeCell ref="P53:P54"/>
    <mergeCell ref="P55:P56"/>
    <mergeCell ref="P57:P58"/>
    <mergeCell ref="P59:P60"/>
    <mergeCell ref="P61:P62"/>
    <mergeCell ref="P63:P64"/>
    <mergeCell ref="P65:P66"/>
    <mergeCell ref="P67:P68"/>
    <mergeCell ref="P69:P70"/>
    <mergeCell ref="P71:P72"/>
    <mergeCell ref="P73:P74"/>
    <mergeCell ref="Q5:Q6"/>
    <mergeCell ref="Q7:Q8"/>
    <mergeCell ref="Q9:Q10"/>
    <mergeCell ref="Q11:Q12"/>
    <mergeCell ref="Q13:Q14"/>
    <mergeCell ref="Q15:Q16"/>
    <mergeCell ref="Q17:Q18"/>
    <mergeCell ref="Q19:Q20"/>
    <mergeCell ref="Q21:Q22"/>
    <mergeCell ref="Q23:Q24"/>
    <mergeCell ref="Q25:Q26"/>
    <mergeCell ref="Q27:Q28"/>
    <mergeCell ref="Q29:Q30"/>
    <mergeCell ref="Q31:Q32"/>
    <mergeCell ref="Q33:Q34"/>
    <mergeCell ref="Q35:Q36"/>
    <mergeCell ref="Q37:Q38"/>
    <mergeCell ref="Q39:Q40"/>
    <mergeCell ref="Q41:Q42"/>
    <mergeCell ref="Q43:Q44"/>
    <mergeCell ref="Q45:Q46"/>
    <mergeCell ref="Q47:Q48"/>
    <mergeCell ref="Q49:Q50"/>
    <mergeCell ref="Q51:Q52"/>
    <mergeCell ref="Q53:Q54"/>
    <mergeCell ref="Q55:Q56"/>
    <mergeCell ref="Q57:Q58"/>
    <mergeCell ref="Q59:Q60"/>
    <mergeCell ref="Q61:Q62"/>
    <mergeCell ref="Q63:Q64"/>
    <mergeCell ref="Q65:Q66"/>
    <mergeCell ref="Q67:Q68"/>
    <mergeCell ref="Q69:Q70"/>
    <mergeCell ref="Q71:Q72"/>
    <mergeCell ref="Q73:Q74"/>
    <mergeCell ref="R5:R6"/>
    <mergeCell ref="R7:R8"/>
    <mergeCell ref="R9:R10"/>
    <mergeCell ref="R11:R12"/>
    <mergeCell ref="R13:R14"/>
    <mergeCell ref="R15:R16"/>
    <mergeCell ref="R17:R18"/>
    <mergeCell ref="R19:R20"/>
    <mergeCell ref="R21:R22"/>
    <mergeCell ref="R23:R24"/>
    <mergeCell ref="R25:R26"/>
    <mergeCell ref="R27:R28"/>
    <mergeCell ref="R29:R30"/>
    <mergeCell ref="R31:R32"/>
    <mergeCell ref="R33:R34"/>
    <mergeCell ref="R35:R36"/>
    <mergeCell ref="R37:R38"/>
    <mergeCell ref="R39:R40"/>
    <mergeCell ref="R41:R42"/>
    <mergeCell ref="R43:R44"/>
    <mergeCell ref="R45:R46"/>
    <mergeCell ref="R47:R48"/>
    <mergeCell ref="R49:R50"/>
    <mergeCell ref="R51:R52"/>
    <mergeCell ref="R53:R54"/>
    <mergeCell ref="R55:R56"/>
    <mergeCell ref="R57:R58"/>
    <mergeCell ref="R59:R60"/>
    <mergeCell ref="R61:R62"/>
    <mergeCell ref="R63:R64"/>
    <mergeCell ref="R65:R66"/>
    <mergeCell ref="R67:R68"/>
    <mergeCell ref="R69:R70"/>
    <mergeCell ref="R71:R72"/>
    <mergeCell ref="R73:R74"/>
    <mergeCell ref="S5:S6"/>
    <mergeCell ref="S7:S8"/>
    <mergeCell ref="S9:S10"/>
    <mergeCell ref="S11:S12"/>
    <mergeCell ref="S13:S14"/>
    <mergeCell ref="S15:S16"/>
    <mergeCell ref="S17:S18"/>
    <mergeCell ref="S19:S20"/>
    <mergeCell ref="S21:S22"/>
    <mergeCell ref="S23:S24"/>
    <mergeCell ref="S25:S26"/>
    <mergeCell ref="S27:S28"/>
    <mergeCell ref="S29:S30"/>
    <mergeCell ref="S31:S32"/>
    <mergeCell ref="S33:S34"/>
    <mergeCell ref="S35:S36"/>
    <mergeCell ref="S37:S38"/>
    <mergeCell ref="S39:S40"/>
    <mergeCell ref="S41:S42"/>
    <mergeCell ref="S43:S44"/>
    <mergeCell ref="S45:S46"/>
    <mergeCell ref="S47:S48"/>
    <mergeCell ref="S49:S50"/>
    <mergeCell ref="S51:S52"/>
    <mergeCell ref="S53:S54"/>
    <mergeCell ref="S55:S56"/>
    <mergeCell ref="S57:S58"/>
    <mergeCell ref="S59:S60"/>
    <mergeCell ref="S61:S62"/>
    <mergeCell ref="S63:S64"/>
    <mergeCell ref="S65:S66"/>
    <mergeCell ref="S67:S68"/>
    <mergeCell ref="S69:S70"/>
    <mergeCell ref="S71:S72"/>
    <mergeCell ref="S73:S74"/>
  </mergeCells>
  <pageMargins left="0.751388888888889" right="0.751388888888889" top="1" bottom="1" header="0.5" footer="0.5"/>
  <pageSetup paperSize="8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XEZ57"/>
  <sheetViews>
    <sheetView workbookViewId="0">
      <pane ySplit="2" topLeftCell="A3" activePane="bottomLeft" state="frozen"/>
      <selection/>
      <selection pane="bottomLeft" activeCell="B2" sqref="B2"/>
    </sheetView>
  </sheetViews>
  <sheetFormatPr defaultColWidth="9" defaultRowHeight="14.25"/>
  <cols>
    <col min="1" max="1" width="4.38333333333333" style="1" customWidth="1"/>
    <col min="2" max="2" width="7.75" style="1" customWidth="1"/>
    <col min="3" max="3" width="6.5" style="1" customWidth="1"/>
    <col min="4" max="4" width="9.625" style="1" customWidth="1"/>
    <col min="5" max="5" width="8.88333333333333" style="1"/>
    <col min="6" max="6" width="8.875" style="1" customWidth="1"/>
    <col min="7" max="7" width="11.6333333333333" style="1" customWidth="1"/>
    <col min="8" max="8" width="11.25" style="1" customWidth="1"/>
    <col min="9" max="9" width="9.55833333333333" style="1" customWidth="1"/>
    <col min="10" max="11" width="10" style="1" customWidth="1"/>
    <col min="12" max="13" width="9.25" style="1"/>
    <col min="14" max="14" width="8.88333333333333" style="1"/>
    <col min="15" max="15" width="10.375" style="1"/>
    <col min="16" max="16" width="9.375" style="1"/>
    <col min="17" max="16371" width="8.88333333333333" style="1"/>
    <col min="16372" max="16379" width="9" style="1"/>
    <col min="16381" max="16382" width="9" style="1"/>
  </cols>
  <sheetData>
    <row r="1" s="1" customFormat="1" ht="43" customHeight="1" spans="2:16380">
      <c r="B1" s="2" t="s">
        <v>189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XEZ1"/>
    </row>
    <row r="2" s="1" customFormat="1" ht="44.4" customHeight="1" spans="2:16380">
      <c r="B2" s="3" t="s">
        <v>190</v>
      </c>
      <c r="C2" s="3" t="s">
        <v>191</v>
      </c>
      <c r="D2" s="3" t="s">
        <v>192</v>
      </c>
      <c r="E2" s="3" t="s">
        <v>193</v>
      </c>
      <c r="F2" s="3" t="s">
        <v>194</v>
      </c>
      <c r="G2" s="3" t="s">
        <v>195</v>
      </c>
      <c r="H2" s="3" t="s">
        <v>196</v>
      </c>
      <c r="I2" s="3" t="s">
        <v>197</v>
      </c>
      <c r="J2" s="3" t="s">
        <v>12</v>
      </c>
      <c r="K2" s="3" t="s">
        <v>112</v>
      </c>
      <c r="L2" s="12" t="s">
        <v>198</v>
      </c>
      <c r="M2" s="12" t="s">
        <v>199</v>
      </c>
      <c r="N2" s="13" t="s">
        <v>200</v>
      </c>
      <c r="XEZ2"/>
    </row>
    <row r="3" s="1" customFormat="1" ht="15.75" customHeight="1" spans="2:16380">
      <c r="B3" s="4"/>
      <c r="C3" s="4" t="s">
        <v>201</v>
      </c>
      <c r="D3" s="4" t="s">
        <v>13</v>
      </c>
      <c r="E3" s="4"/>
      <c r="F3" s="4" t="s">
        <v>13</v>
      </c>
      <c r="G3" s="4" t="s">
        <v>13</v>
      </c>
      <c r="H3" s="4" t="s">
        <v>13</v>
      </c>
      <c r="I3" s="4" t="s">
        <v>14</v>
      </c>
      <c r="J3" s="4" t="s">
        <v>15</v>
      </c>
      <c r="K3" s="4" t="s">
        <v>117</v>
      </c>
      <c r="L3" s="4" t="s">
        <v>117</v>
      </c>
      <c r="M3" s="4" t="s">
        <v>118</v>
      </c>
      <c r="N3" s="4" t="s">
        <v>117</v>
      </c>
      <c r="XEZ3"/>
    </row>
    <row r="4" s="1" customFormat="1" ht="12.45" customHeight="1" spans="2:16380">
      <c r="B4" s="5" t="s">
        <v>123</v>
      </c>
      <c r="C4" s="5">
        <v>2</v>
      </c>
      <c r="D4" s="5">
        <f>23.9+0.5+1.4</f>
        <v>25.8</v>
      </c>
      <c r="E4" s="6" t="s">
        <v>202</v>
      </c>
      <c r="F4" s="5">
        <v>1</v>
      </c>
      <c r="G4" s="6">
        <f>0.36+0.15+0.15+0.35*2</f>
        <v>1.36</v>
      </c>
      <c r="H4" s="5">
        <f>0.36+0.15+0.15+0.35*2</f>
        <v>1.36</v>
      </c>
      <c r="I4" s="6">
        <f>H4*F4</f>
        <v>1.36</v>
      </c>
      <c r="J4" s="15">
        <f>I4*D4</f>
        <v>35.088</v>
      </c>
      <c r="K4" s="15">
        <f>D4*0.15*G4</f>
        <v>5.2632</v>
      </c>
      <c r="L4" s="15">
        <f>(0.66*0.66-3.14*0.18*0.18)*D4</f>
        <v>8.6136912</v>
      </c>
      <c r="M4" s="15">
        <f>0.66*D4*2</f>
        <v>34.056</v>
      </c>
      <c r="N4" s="15">
        <f>J4-L4-3.14*0.18*0.18*D4-K4</f>
        <v>18.58632</v>
      </c>
      <c r="O4" s="20"/>
      <c r="P4" s="16"/>
      <c r="XEZ4"/>
    </row>
    <row r="5" s="1" customFormat="1" ht="12.45" customHeight="1" spans="2:16380">
      <c r="B5" s="5"/>
      <c r="C5" s="5"/>
      <c r="D5" s="5"/>
      <c r="E5" s="6"/>
      <c r="F5" s="5"/>
      <c r="G5" s="6"/>
      <c r="H5" s="5"/>
      <c r="I5" s="6"/>
      <c r="J5" s="15"/>
      <c r="K5" s="15"/>
      <c r="L5" s="15"/>
      <c r="M5" s="15"/>
      <c r="N5" s="15"/>
      <c r="O5" s="20"/>
      <c r="P5" s="16"/>
      <c r="XEZ5"/>
    </row>
    <row r="6" s="1" customFormat="1" ht="12.45" customHeight="1" spans="2:16380">
      <c r="B6" s="5" t="s">
        <v>125</v>
      </c>
      <c r="C6" s="5">
        <v>2</v>
      </c>
      <c r="D6" s="5">
        <f>17.5+0.5+1.7+0.5</f>
        <v>20.2</v>
      </c>
      <c r="E6" s="6" t="s">
        <v>202</v>
      </c>
      <c r="F6" s="5">
        <v>1</v>
      </c>
      <c r="G6" s="6">
        <f>0.36+0.15+0.15+0.35*2</f>
        <v>1.36</v>
      </c>
      <c r="H6" s="5">
        <f>0.36+0.15+0.15+0.35*2</f>
        <v>1.36</v>
      </c>
      <c r="I6" s="6">
        <f>H6*F6</f>
        <v>1.36</v>
      </c>
      <c r="J6" s="15">
        <f>I6*D6</f>
        <v>27.472</v>
      </c>
      <c r="K6" s="15">
        <f>D6*0.15*G6</f>
        <v>4.1208</v>
      </c>
      <c r="L6" s="15">
        <f>(0.66*0.66-3.14*0.18*0.18)*D6</f>
        <v>6.7440528</v>
      </c>
      <c r="M6" s="15">
        <f>0.66*D6*2</f>
        <v>26.664</v>
      </c>
      <c r="N6" s="15">
        <f>J6-L6-3.14*0.18*0.18*D6-K6</f>
        <v>14.55208</v>
      </c>
      <c r="XEZ6"/>
    </row>
    <row r="7" s="1" customFormat="1" ht="12.45" customHeight="1" spans="2:16380">
      <c r="B7" s="5"/>
      <c r="C7" s="5"/>
      <c r="D7" s="5"/>
      <c r="E7" s="6"/>
      <c r="F7" s="5"/>
      <c r="G7" s="6"/>
      <c r="H7" s="5"/>
      <c r="I7" s="6"/>
      <c r="J7" s="15"/>
      <c r="K7" s="15"/>
      <c r="L7" s="15"/>
      <c r="M7" s="15"/>
      <c r="N7" s="15"/>
      <c r="XEZ7"/>
    </row>
    <row r="8" s="1" customFormat="1" ht="12.45" customHeight="1" spans="2:16380">
      <c r="B8" s="5" t="s">
        <v>127</v>
      </c>
      <c r="C8" s="5">
        <v>2</v>
      </c>
      <c r="D8" s="5">
        <f>17.9+0.5+1.3+0.5</f>
        <v>20.2</v>
      </c>
      <c r="E8" s="6" t="s">
        <v>202</v>
      </c>
      <c r="F8" s="5">
        <v>1</v>
      </c>
      <c r="G8" s="6">
        <f>0.36+0.15+0.15+0.35*2</f>
        <v>1.36</v>
      </c>
      <c r="H8" s="5">
        <f>0.36+0.15+0.15+0.35*2</f>
        <v>1.36</v>
      </c>
      <c r="I8" s="6">
        <f>H8*F8</f>
        <v>1.36</v>
      </c>
      <c r="J8" s="15">
        <f>I8*D8</f>
        <v>27.472</v>
      </c>
      <c r="K8" s="15">
        <f>D8*0.15*G8</f>
        <v>4.1208</v>
      </c>
      <c r="L8" s="15">
        <f>(0.66*0.66-3.14*0.18*0.18)*D8</f>
        <v>6.7440528</v>
      </c>
      <c r="M8" s="15">
        <f>0.66*D8*2</f>
        <v>26.664</v>
      </c>
      <c r="N8" s="15">
        <f>J8-L8-3.14*0.18*0.18*D8-K8</f>
        <v>14.55208</v>
      </c>
      <c r="XEZ8"/>
    </row>
    <row r="9" s="1" customFormat="1" ht="12.45" customHeight="1" spans="2:16380">
      <c r="B9" s="5"/>
      <c r="C9" s="5"/>
      <c r="D9" s="5"/>
      <c r="E9" s="6"/>
      <c r="F9" s="5"/>
      <c r="G9" s="6"/>
      <c r="H9" s="5"/>
      <c r="I9" s="6"/>
      <c r="J9" s="15"/>
      <c r="K9" s="15"/>
      <c r="L9" s="15"/>
      <c r="M9" s="15"/>
      <c r="N9" s="15"/>
      <c r="XEZ9"/>
    </row>
    <row r="10" s="1" customFormat="1" ht="12.45" customHeight="1" spans="2:16380">
      <c r="B10" s="5" t="s">
        <v>129</v>
      </c>
      <c r="C10" s="5">
        <v>2</v>
      </c>
      <c r="D10" s="5">
        <f>19.4+0.5+2.3+0.5</f>
        <v>22.7</v>
      </c>
      <c r="E10" s="6" t="s">
        <v>202</v>
      </c>
      <c r="F10" s="5">
        <v>1</v>
      </c>
      <c r="G10" s="6">
        <f>0.36+0.15+0.15+0.35*2</f>
        <v>1.36</v>
      </c>
      <c r="H10" s="5">
        <f>0.36+0.15+0.15+0.35*2</f>
        <v>1.36</v>
      </c>
      <c r="I10" s="6">
        <f>H10*F10</f>
        <v>1.36</v>
      </c>
      <c r="J10" s="15">
        <f>I10*D10</f>
        <v>30.872</v>
      </c>
      <c r="K10" s="15">
        <f>D10*0.15*G10</f>
        <v>4.6308</v>
      </c>
      <c r="L10" s="15">
        <f>(0.66*0.66-3.14*0.18*0.18)*D10</f>
        <v>7.5787128</v>
      </c>
      <c r="M10" s="15">
        <f>0.66*D10*2</f>
        <v>29.964</v>
      </c>
      <c r="N10" s="15">
        <f>J10-L10-3.14*0.18*0.18*D10-K10</f>
        <v>16.35308</v>
      </c>
      <c r="XEZ10"/>
    </row>
    <row r="11" s="1" customFormat="1" ht="12.45" customHeight="1" spans="2:16380">
      <c r="B11" s="5"/>
      <c r="C11" s="5"/>
      <c r="D11" s="5"/>
      <c r="E11" s="6"/>
      <c r="F11" s="5"/>
      <c r="G11" s="6"/>
      <c r="H11" s="5"/>
      <c r="I11" s="6"/>
      <c r="J11" s="15"/>
      <c r="K11" s="15"/>
      <c r="L11" s="15"/>
      <c r="M11" s="15"/>
      <c r="N11" s="15"/>
      <c r="XEZ11"/>
    </row>
    <row r="12" s="1" customFormat="1" ht="12.45" customHeight="1" spans="2:16380">
      <c r="B12" s="5" t="s">
        <v>131</v>
      </c>
      <c r="C12" s="5">
        <v>2</v>
      </c>
      <c r="D12" s="5">
        <f>24.7+0.5+1.4+0.5</f>
        <v>27.1</v>
      </c>
      <c r="E12" s="6" t="s">
        <v>202</v>
      </c>
      <c r="F12" s="5">
        <v>1</v>
      </c>
      <c r="G12" s="6">
        <f>0.36+0.15+0.15+0.35*2</f>
        <v>1.36</v>
      </c>
      <c r="H12" s="5">
        <f>0.36+0.15+0.15+0.35*2</f>
        <v>1.36</v>
      </c>
      <c r="I12" s="6">
        <f>H12*F12</f>
        <v>1.36</v>
      </c>
      <c r="J12" s="15">
        <f>I12*D12</f>
        <v>36.856</v>
      </c>
      <c r="K12" s="15">
        <f>D12*0.15*G12</f>
        <v>5.5284</v>
      </c>
      <c r="L12" s="15">
        <f>(0.66*0.66-3.14*0.18*0.18)*D12</f>
        <v>9.0477144</v>
      </c>
      <c r="M12" s="15">
        <f>0.66*D12*2</f>
        <v>35.772</v>
      </c>
      <c r="N12" s="15">
        <f>J12-L12-3.14*0.18*0.18*D12-K12</f>
        <v>19.52284</v>
      </c>
      <c r="XEZ12"/>
    </row>
    <row r="13" s="1" customFormat="1" ht="12.45" customHeight="1" spans="2:16380">
      <c r="B13" s="5"/>
      <c r="C13" s="5"/>
      <c r="D13" s="5"/>
      <c r="E13" s="6"/>
      <c r="F13" s="5"/>
      <c r="G13" s="6"/>
      <c r="H13" s="5"/>
      <c r="I13" s="6"/>
      <c r="J13" s="15"/>
      <c r="K13" s="15"/>
      <c r="L13" s="15"/>
      <c r="M13" s="15"/>
      <c r="N13" s="15"/>
      <c r="XEZ13"/>
    </row>
    <row r="14" s="1" customFormat="1" ht="12.45" customHeight="1" spans="2:16380">
      <c r="B14" s="5" t="s">
        <v>136</v>
      </c>
      <c r="C14" s="5">
        <v>2</v>
      </c>
      <c r="D14" s="5">
        <f>24.2+0.5+0.6+0.5</f>
        <v>25.8</v>
      </c>
      <c r="E14" s="6" t="s">
        <v>202</v>
      </c>
      <c r="F14" s="5">
        <v>1</v>
      </c>
      <c r="G14" s="6">
        <f>0.36+0.15+0.15+0.35*2</f>
        <v>1.36</v>
      </c>
      <c r="H14" s="5">
        <f>0.36+0.15+0.15+0.35*2</f>
        <v>1.36</v>
      </c>
      <c r="I14" s="6">
        <f>H14*F14</f>
        <v>1.36</v>
      </c>
      <c r="J14" s="15">
        <f>I14*D14</f>
        <v>35.088</v>
      </c>
      <c r="K14" s="15">
        <f>D14*0.15*G14</f>
        <v>5.2632</v>
      </c>
      <c r="L14" s="15">
        <f>(0.66*0.66-3.14*0.18*0.18)*D14</f>
        <v>8.6136912</v>
      </c>
      <c r="M14" s="15">
        <f>0.66*D14*2</f>
        <v>34.056</v>
      </c>
      <c r="N14" s="15">
        <f>J14-L14-3.14*0.18*0.18*D14-K14</f>
        <v>18.58632</v>
      </c>
      <c r="XEZ14"/>
    </row>
    <row r="15" s="1" customFormat="1" ht="12.45" customHeight="1" spans="2:16380">
      <c r="B15" s="5"/>
      <c r="C15" s="5"/>
      <c r="D15" s="5"/>
      <c r="E15" s="6"/>
      <c r="F15" s="5"/>
      <c r="G15" s="6"/>
      <c r="H15" s="5"/>
      <c r="I15" s="6"/>
      <c r="J15" s="15"/>
      <c r="K15" s="15"/>
      <c r="L15" s="15"/>
      <c r="M15" s="15"/>
      <c r="N15" s="15"/>
      <c r="XEZ15"/>
    </row>
    <row r="16" s="1" customFormat="1" ht="12.45" customHeight="1" spans="2:16380">
      <c r="B16" s="5" t="s">
        <v>139</v>
      </c>
      <c r="C16" s="5">
        <v>2</v>
      </c>
      <c r="D16" s="5">
        <f>16.8+0.5+2.3+0.5</f>
        <v>20.1</v>
      </c>
      <c r="E16" s="6" t="s">
        <v>202</v>
      </c>
      <c r="F16" s="5">
        <v>1</v>
      </c>
      <c r="G16" s="6">
        <f>0.36+0.15+0.15+0.35*2</f>
        <v>1.36</v>
      </c>
      <c r="H16" s="5">
        <f>0.36+0.15+0.15+0.35*2</f>
        <v>1.36</v>
      </c>
      <c r="I16" s="6">
        <f>H16*F16</f>
        <v>1.36</v>
      </c>
      <c r="J16" s="15">
        <f>I16*D16</f>
        <v>27.336</v>
      </c>
      <c r="K16" s="15">
        <f>D16*0.15*G16</f>
        <v>4.1004</v>
      </c>
      <c r="L16" s="15">
        <f>(0.66*0.66-3.14*0.18*0.18)*D16</f>
        <v>6.7106664</v>
      </c>
      <c r="M16" s="15">
        <f>0.66*D16*2</f>
        <v>26.532</v>
      </c>
      <c r="N16" s="15">
        <f>J16-L16-3.14*0.18*0.18*D16-K16</f>
        <v>14.48004</v>
      </c>
      <c r="XEZ16"/>
    </row>
    <row r="17" s="1" customFormat="1" ht="12.45" customHeight="1" spans="2:16380">
      <c r="B17" s="5"/>
      <c r="C17" s="5"/>
      <c r="D17" s="5"/>
      <c r="E17" s="6"/>
      <c r="F17" s="5"/>
      <c r="G17" s="6"/>
      <c r="H17" s="5"/>
      <c r="I17" s="6"/>
      <c r="J17" s="15"/>
      <c r="K17" s="15"/>
      <c r="L17" s="15"/>
      <c r="M17" s="15"/>
      <c r="N17" s="15"/>
      <c r="XEZ17"/>
    </row>
    <row r="18" s="1" customFormat="1" ht="12.45" customHeight="1" spans="2:16380">
      <c r="B18" s="5" t="s">
        <v>144</v>
      </c>
      <c r="C18" s="5">
        <v>2</v>
      </c>
      <c r="D18" s="5">
        <f>20.1+18.4+1</f>
        <v>39.5</v>
      </c>
      <c r="E18" s="6" t="s">
        <v>202</v>
      </c>
      <c r="F18" s="5">
        <v>1</v>
      </c>
      <c r="G18" s="6">
        <f>0.36+0.15+0.15+0.35*2</f>
        <v>1.36</v>
      </c>
      <c r="H18" s="5">
        <f>0.36+0.15+0.15+0.35*2</f>
        <v>1.36</v>
      </c>
      <c r="I18" s="6">
        <f>H18*F18</f>
        <v>1.36</v>
      </c>
      <c r="J18" s="15">
        <f>I18*D18</f>
        <v>53.72</v>
      </c>
      <c r="K18" s="15">
        <f>D18*0.15*G18</f>
        <v>8.058</v>
      </c>
      <c r="L18" s="15">
        <f>(0.66*0.66-3.14*0.18*0.18)*D18</f>
        <v>13.187628</v>
      </c>
      <c r="M18" s="15">
        <f>0.66*D18*2</f>
        <v>52.14</v>
      </c>
      <c r="N18" s="15">
        <f>J18-L18-3.14*0.18*0.18*D18-K18</f>
        <v>28.4558</v>
      </c>
      <c r="XEZ18"/>
    </row>
    <row r="19" s="1" customFormat="1" ht="12.45" customHeight="1" spans="2:16380">
      <c r="B19" s="5"/>
      <c r="C19" s="5"/>
      <c r="D19" s="5"/>
      <c r="E19" s="6"/>
      <c r="F19" s="5"/>
      <c r="G19" s="6"/>
      <c r="H19" s="5"/>
      <c r="I19" s="6"/>
      <c r="J19" s="15"/>
      <c r="K19" s="15"/>
      <c r="L19" s="15"/>
      <c r="M19" s="15"/>
      <c r="N19" s="15"/>
      <c r="XEZ19"/>
    </row>
    <row r="20" s="1" customFormat="1" ht="12.45" customHeight="1" spans="2:16380">
      <c r="B20" s="5" t="s">
        <v>145</v>
      </c>
      <c r="C20" s="5">
        <v>2</v>
      </c>
      <c r="D20" s="5">
        <f>17.5+0.5+1.6+0.5</f>
        <v>20.1</v>
      </c>
      <c r="E20" s="6" t="s">
        <v>202</v>
      </c>
      <c r="F20" s="5">
        <v>1</v>
      </c>
      <c r="G20" s="6">
        <f>0.36+0.15+0.15+0.35*2</f>
        <v>1.36</v>
      </c>
      <c r="H20" s="5">
        <f>0.36+0.15+0.15+0.35*2</f>
        <v>1.36</v>
      </c>
      <c r="I20" s="6">
        <f>H20*F20</f>
        <v>1.36</v>
      </c>
      <c r="J20" s="15">
        <f>I20*D20</f>
        <v>27.336</v>
      </c>
      <c r="K20" s="15">
        <f>D20*0.15*G20</f>
        <v>4.1004</v>
      </c>
      <c r="L20" s="15">
        <f>(0.66*0.66-3.14*0.18*0.18)*D20</f>
        <v>6.7106664</v>
      </c>
      <c r="M20" s="15">
        <f>0.66*D20*2</f>
        <v>26.532</v>
      </c>
      <c r="N20" s="15">
        <f>J20-L20-3.14*0.18*0.18*D20-K20</f>
        <v>14.48004</v>
      </c>
      <c r="XEZ20"/>
    </row>
    <row r="21" s="1" customFormat="1" ht="12.45" customHeight="1" spans="2:16380">
      <c r="B21" s="5"/>
      <c r="C21" s="5"/>
      <c r="D21" s="5"/>
      <c r="E21" s="6"/>
      <c r="F21" s="5"/>
      <c r="G21" s="6"/>
      <c r="H21" s="5"/>
      <c r="I21" s="6"/>
      <c r="J21" s="15"/>
      <c r="K21" s="15"/>
      <c r="L21" s="15"/>
      <c r="M21" s="15"/>
      <c r="N21" s="15"/>
      <c r="XEZ21"/>
    </row>
    <row r="22" s="1" customFormat="1" ht="12.45" customHeight="1" spans="2:16380">
      <c r="B22" s="5" t="s">
        <v>147</v>
      </c>
      <c r="C22" s="5">
        <v>2</v>
      </c>
      <c r="D22" s="5">
        <f>17.7+1.4+0.5+0.5</f>
        <v>20.1</v>
      </c>
      <c r="E22" s="6" t="s">
        <v>202</v>
      </c>
      <c r="F22" s="5">
        <v>1</v>
      </c>
      <c r="G22" s="6">
        <f>0.36+0.15+0.15+0.35*2</f>
        <v>1.36</v>
      </c>
      <c r="H22" s="5">
        <f>0.36+0.15+0.15+0.35*2</f>
        <v>1.36</v>
      </c>
      <c r="I22" s="6">
        <f>H22*F22</f>
        <v>1.36</v>
      </c>
      <c r="J22" s="15">
        <f>I22*D22</f>
        <v>27.336</v>
      </c>
      <c r="K22" s="15">
        <f>D22*0.15*G22</f>
        <v>4.1004</v>
      </c>
      <c r="L22" s="15">
        <f>(0.66*0.66-3.14*0.18*0.18)*D22</f>
        <v>6.7106664</v>
      </c>
      <c r="M22" s="15">
        <f>0.66*D22*2</f>
        <v>26.532</v>
      </c>
      <c r="N22" s="15">
        <f>J22-L22-3.14*0.18*0.18*D22-K22</f>
        <v>14.48004</v>
      </c>
      <c r="XEZ22"/>
    </row>
    <row r="23" s="1" customFormat="1" ht="12.45" customHeight="1" spans="2:16380">
      <c r="B23" s="5"/>
      <c r="C23" s="5"/>
      <c r="D23" s="5"/>
      <c r="E23" s="6"/>
      <c r="F23" s="5"/>
      <c r="G23" s="6"/>
      <c r="H23" s="5"/>
      <c r="I23" s="6"/>
      <c r="J23" s="15"/>
      <c r="K23" s="15"/>
      <c r="L23" s="15"/>
      <c r="M23" s="15"/>
      <c r="N23" s="15"/>
      <c r="XEZ23"/>
    </row>
    <row r="24" s="1" customFormat="1" ht="12.45" customHeight="1" spans="2:16380">
      <c r="B24" s="5" t="s">
        <v>149</v>
      </c>
      <c r="C24" s="5">
        <v>2</v>
      </c>
      <c r="D24" s="5">
        <f>24+0.5+0.9+0.5</f>
        <v>25.9</v>
      </c>
      <c r="E24" s="6" t="s">
        <v>202</v>
      </c>
      <c r="F24" s="5">
        <v>1</v>
      </c>
      <c r="G24" s="6">
        <f>0.36+0.15+0.15+0.35*2</f>
        <v>1.36</v>
      </c>
      <c r="H24" s="5">
        <f>0.36+0.15+0.15+0.35*2</f>
        <v>1.36</v>
      </c>
      <c r="I24" s="6">
        <f>H24*F24</f>
        <v>1.36</v>
      </c>
      <c r="J24" s="15">
        <f>I24*D24</f>
        <v>35.224</v>
      </c>
      <c r="K24" s="15">
        <f>D24*0.15*G24</f>
        <v>5.2836</v>
      </c>
      <c r="L24" s="15">
        <f>(0.66*0.66-3.14*0.18*0.18)*D24</f>
        <v>8.6470776</v>
      </c>
      <c r="M24" s="15">
        <f>0.66*D24*2</f>
        <v>34.188</v>
      </c>
      <c r="N24" s="15">
        <f>J24-L24-3.14*0.18*0.18*D24-K24</f>
        <v>18.65836</v>
      </c>
      <c r="XEZ24"/>
    </row>
    <row r="25" s="1" customFormat="1" ht="12.45" customHeight="1" spans="2:16380">
      <c r="B25" s="5"/>
      <c r="C25" s="5"/>
      <c r="D25" s="5"/>
      <c r="E25" s="6"/>
      <c r="F25" s="5"/>
      <c r="G25" s="6"/>
      <c r="H25" s="5"/>
      <c r="I25" s="6"/>
      <c r="J25" s="15"/>
      <c r="K25" s="15"/>
      <c r="L25" s="15"/>
      <c r="M25" s="15"/>
      <c r="N25" s="15"/>
      <c r="XEZ25"/>
    </row>
    <row r="26" s="1" customFormat="1" ht="12.45" customHeight="1" spans="2:16380">
      <c r="B26" s="5" t="s">
        <v>151</v>
      </c>
      <c r="C26" s="5">
        <v>2</v>
      </c>
      <c r="D26" s="5">
        <f>24.7+0.5+1.4+0.5</f>
        <v>27.1</v>
      </c>
      <c r="E26" s="6" t="s">
        <v>202</v>
      </c>
      <c r="F26" s="5">
        <v>1</v>
      </c>
      <c r="G26" s="6">
        <f>0.36+0.15+0.15+0.35*2</f>
        <v>1.36</v>
      </c>
      <c r="H26" s="5">
        <f>0.36+0.15+0.15+0.35*2</f>
        <v>1.36</v>
      </c>
      <c r="I26" s="6">
        <f>H26*F26</f>
        <v>1.36</v>
      </c>
      <c r="J26" s="15">
        <f>I26*D26</f>
        <v>36.856</v>
      </c>
      <c r="K26" s="15">
        <f>D26*0.15*G26</f>
        <v>5.5284</v>
      </c>
      <c r="L26" s="15">
        <f>(0.66*0.66-3.14*0.18*0.18)*D26</f>
        <v>9.0477144</v>
      </c>
      <c r="M26" s="15">
        <f>0.66*D26*2</f>
        <v>35.772</v>
      </c>
      <c r="N26" s="15">
        <f>J26-L26-3.14*0.18*0.18*D26-K26</f>
        <v>19.52284</v>
      </c>
      <c r="XEZ26"/>
    </row>
    <row r="27" s="1" customFormat="1" ht="12.45" customHeight="1" spans="2:16380">
      <c r="B27" s="5"/>
      <c r="C27" s="5"/>
      <c r="D27" s="5"/>
      <c r="E27" s="6"/>
      <c r="F27" s="5"/>
      <c r="G27" s="6"/>
      <c r="H27" s="5"/>
      <c r="I27" s="6"/>
      <c r="J27" s="15"/>
      <c r="K27" s="15"/>
      <c r="L27" s="15"/>
      <c r="M27" s="15"/>
      <c r="N27" s="15"/>
      <c r="XEZ27"/>
    </row>
    <row r="28" s="1" customFormat="1" ht="12.45" customHeight="1" spans="2:16380">
      <c r="B28" s="5" t="s">
        <v>153</v>
      </c>
      <c r="C28" s="5">
        <v>2</v>
      </c>
      <c r="D28" s="5">
        <f>24.4+0.5+1.8+0.5</f>
        <v>27.2</v>
      </c>
      <c r="E28" s="6" t="s">
        <v>202</v>
      </c>
      <c r="F28" s="5">
        <v>1</v>
      </c>
      <c r="G28" s="6">
        <f>0.36+0.15+0.15+0.35*2</f>
        <v>1.36</v>
      </c>
      <c r="H28" s="5">
        <f>0.36+0.15+0.15+0.35*2</f>
        <v>1.36</v>
      </c>
      <c r="I28" s="6">
        <f>H28*F28</f>
        <v>1.36</v>
      </c>
      <c r="J28" s="15">
        <f>I28*D28</f>
        <v>36.992</v>
      </c>
      <c r="K28" s="15">
        <f>D28*0.15*G28</f>
        <v>5.5488</v>
      </c>
      <c r="L28" s="15">
        <f>(0.66*0.66-3.14*0.18*0.18)*D28</f>
        <v>9.0811008</v>
      </c>
      <c r="M28" s="15">
        <f>0.66*D28*2</f>
        <v>35.904</v>
      </c>
      <c r="N28" s="15">
        <f>J28-L28-3.14*0.18*0.18*D28-K28</f>
        <v>19.59488</v>
      </c>
      <c r="XEZ28"/>
    </row>
    <row r="29" s="1" customFormat="1" ht="12.45" customHeight="1" spans="2:16380">
      <c r="B29" s="5"/>
      <c r="C29" s="5"/>
      <c r="D29" s="5"/>
      <c r="E29" s="6"/>
      <c r="F29" s="5"/>
      <c r="G29" s="6"/>
      <c r="H29" s="5"/>
      <c r="I29" s="6"/>
      <c r="J29" s="15"/>
      <c r="K29" s="15"/>
      <c r="L29" s="15"/>
      <c r="M29" s="15"/>
      <c r="N29" s="15"/>
      <c r="XEZ29"/>
    </row>
    <row r="30" s="1" customFormat="1" ht="12.45" customHeight="1" spans="2:16380">
      <c r="B30" s="5" t="s">
        <v>155</v>
      </c>
      <c r="C30" s="5">
        <v>2</v>
      </c>
      <c r="D30" s="5">
        <f>23.9+0.5+1.3+0.5</f>
        <v>26.2</v>
      </c>
      <c r="E30" s="6" t="s">
        <v>202</v>
      </c>
      <c r="F30" s="5">
        <v>1</v>
      </c>
      <c r="G30" s="6">
        <f>0.36+0.15+0.15+0.35*2</f>
        <v>1.36</v>
      </c>
      <c r="H30" s="5">
        <f>0.36+0.15+0.15+0.35*2</f>
        <v>1.36</v>
      </c>
      <c r="I30" s="6">
        <f>H30*F30</f>
        <v>1.36</v>
      </c>
      <c r="J30" s="15">
        <f>I30*D30</f>
        <v>35.632</v>
      </c>
      <c r="K30" s="15">
        <f>D30*0.15*G30</f>
        <v>5.3448</v>
      </c>
      <c r="L30" s="15">
        <f>(0.66*0.66-3.14*0.18*0.18)*D30</f>
        <v>8.7472368</v>
      </c>
      <c r="M30" s="15">
        <f>0.66*D30*2</f>
        <v>34.584</v>
      </c>
      <c r="N30" s="15">
        <f>J30-L30-3.14*0.18*0.18*D30-K30</f>
        <v>18.87448</v>
      </c>
      <c r="XEZ30"/>
    </row>
    <row r="31" s="1" customFormat="1" spans="2:16380">
      <c r="B31" s="5"/>
      <c r="C31" s="5"/>
      <c r="D31" s="5"/>
      <c r="E31" s="6"/>
      <c r="F31" s="5"/>
      <c r="G31" s="6"/>
      <c r="H31" s="5"/>
      <c r="I31" s="6"/>
      <c r="J31" s="15"/>
      <c r="K31" s="15"/>
      <c r="L31" s="15"/>
      <c r="M31" s="15"/>
      <c r="N31" s="15"/>
      <c r="XEZ31"/>
    </row>
    <row r="32" s="1" customFormat="1" spans="2:16380">
      <c r="B32" s="5" t="s">
        <v>157</v>
      </c>
      <c r="C32" s="5">
        <v>2</v>
      </c>
      <c r="D32" s="5">
        <f>17.8+0.5+1.3+0.5</f>
        <v>20.1</v>
      </c>
      <c r="E32" s="6" t="s">
        <v>202</v>
      </c>
      <c r="F32" s="5">
        <v>1</v>
      </c>
      <c r="G32" s="6">
        <f>0.36+0.15+0.15+0.35*2</f>
        <v>1.36</v>
      </c>
      <c r="H32" s="5">
        <f>0.36+0.15+0.15+0.35*2</f>
        <v>1.36</v>
      </c>
      <c r="I32" s="6">
        <f>H32*F32</f>
        <v>1.36</v>
      </c>
      <c r="J32" s="15">
        <f>I32*D32</f>
        <v>27.336</v>
      </c>
      <c r="K32" s="15">
        <f>D32*0.15*G32</f>
        <v>4.1004</v>
      </c>
      <c r="L32" s="15">
        <f>(0.66*0.66-3.14*0.18*0.18)*D32</f>
        <v>6.7106664</v>
      </c>
      <c r="M32" s="15">
        <f>0.66*D32*2</f>
        <v>26.532</v>
      </c>
      <c r="N32" s="15">
        <f>J32-L32-3.14*0.18*0.18*D32-K32</f>
        <v>14.48004</v>
      </c>
      <c r="XEZ32"/>
    </row>
    <row r="33" s="1" customFormat="1" spans="2:16380">
      <c r="B33" s="5"/>
      <c r="C33" s="5"/>
      <c r="D33" s="5"/>
      <c r="E33" s="6"/>
      <c r="F33" s="5"/>
      <c r="G33" s="6"/>
      <c r="H33" s="5"/>
      <c r="I33" s="6"/>
      <c r="J33" s="15"/>
      <c r="K33" s="15"/>
      <c r="L33" s="15"/>
      <c r="M33" s="15"/>
      <c r="N33" s="15"/>
      <c r="XEZ33"/>
    </row>
    <row r="34" s="1" customFormat="1" spans="2:16380">
      <c r="B34" s="5" t="s">
        <v>160</v>
      </c>
      <c r="C34" s="5">
        <v>2</v>
      </c>
      <c r="D34" s="5">
        <f>17.8+0.5+1.4+0.5</f>
        <v>20.2</v>
      </c>
      <c r="E34" s="6" t="s">
        <v>202</v>
      </c>
      <c r="F34" s="5">
        <v>1</v>
      </c>
      <c r="G34" s="6">
        <f>0.36+0.15+0.15+0.35*2</f>
        <v>1.36</v>
      </c>
      <c r="H34" s="5">
        <f>0.36+0.15+0.15+0.35*2</f>
        <v>1.36</v>
      </c>
      <c r="I34" s="6">
        <f>H34*F34</f>
        <v>1.36</v>
      </c>
      <c r="J34" s="15">
        <f>I34*D34</f>
        <v>27.472</v>
      </c>
      <c r="K34" s="15">
        <f>D34*0.15*G34</f>
        <v>4.1208</v>
      </c>
      <c r="L34" s="15">
        <f>(0.66*0.66-3.14*0.18*0.18)*D34</f>
        <v>6.7440528</v>
      </c>
      <c r="M34" s="15">
        <f>0.66*D34*2</f>
        <v>26.664</v>
      </c>
      <c r="N34" s="15">
        <f>J34-L34-3.14*0.18*0.18*D34-K34</f>
        <v>14.55208</v>
      </c>
      <c r="XEZ34"/>
    </row>
    <row r="35" s="1" customFormat="1" spans="2:16380">
      <c r="B35" s="5"/>
      <c r="C35" s="5"/>
      <c r="D35" s="5"/>
      <c r="E35" s="6"/>
      <c r="F35" s="5"/>
      <c r="G35" s="6"/>
      <c r="H35" s="5"/>
      <c r="I35" s="6"/>
      <c r="J35" s="15"/>
      <c r="K35" s="15"/>
      <c r="L35" s="15"/>
      <c r="M35" s="15"/>
      <c r="N35" s="15"/>
      <c r="XEZ35"/>
    </row>
    <row r="36" s="1" customFormat="1" spans="2:16380">
      <c r="B36" s="5" t="s">
        <v>162</v>
      </c>
      <c r="C36" s="5">
        <v>2</v>
      </c>
      <c r="D36" s="5">
        <f>17.7+0.5+1.4+0.5</f>
        <v>20.1</v>
      </c>
      <c r="E36" s="6" t="s">
        <v>202</v>
      </c>
      <c r="F36" s="5">
        <v>1</v>
      </c>
      <c r="G36" s="6">
        <f>0.36+0.15+0.15+0.35*2</f>
        <v>1.36</v>
      </c>
      <c r="H36" s="5">
        <f>0.36+0.15+0.15+0.35*2</f>
        <v>1.36</v>
      </c>
      <c r="I36" s="6">
        <f>H36*F36</f>
        <v>1.36</v>
      </c>
      <c r="J36" s="15">
        <f>I36*D36</f>
        <v>27.336</v>
      </c>
      <c r="K36" s="15">
        <f>D36*0.15*G36</f>
        <v>4.1004</v>
      </c>
      <c r="L36" s="15">
        <f>(0.66*0.66-3.14*0.18*0.18)*D36</f>
        <v>6.7106664</v>
      </c>
      <c r="M36" s="15">
        <f>0.66*D36*2</f>
        <v>26.532</v>
      </c>
      <c r="N36" s="15">
        <f>J36-L36-3.14*0.18*0.18*D36-K36</f>
        <v>14.48004</v>
      </c>
      <c r="XEZ36"/>
    </row>
    <row r="37" s="1" customFormat="1" spans="2:16380">
      <c r="B37" s="5"/>
      <c r="C37" s="5"/>
      <c r="D37" s="5"/>
      <c r="E37" s="6"/>
      <c r="F37" s="5"/>
      <c r="G37" s="6"/>
      <c r="H37" s="5"/>
      <c r="I37" s="6"/>
      <c r="J37" s="15"/>
      <c r="K37" s="15"/>
      <c r="L37" s="15"/>
      <c r="M37" s="15"/>
      <c r="N37" s="15"/>
      <c r="XEZ37"/>
    </row>
    <row r="38" s="1" customFormat="1" spans="2:16380">
      <c r="B38" s="5" t="s">
        <v>164</v>
      </c>
      <c r="C38" s="5">
        <v>2</v>
      </c>
      <c r="D38" s="5">
        <f>17.7+0.5+1.6+0.5</f>
        <v>20.3</v>
      </c>
      <c r="E38" s="6" t="s">
        <v>202</v>
      </c>
      <c r="F38" s="5">
        <v>1</v>
      </c>
      <c r="G38" s="6">
        <f>0.36+0.15+0.15+0.35*2</f>
        <v>1.36</v>
      </c>
      <c r="H38" s="5">
        <f>0.36+0.15+0.15+0.35*2</f>
        <v>1.36</v>
      </c>
      <c r="I38" s="6">
        <f>H38*F38</f>
        <v>1.36</v>
      </c>
      <c r="J38" s="15">
        <f>I38*D38</f>
        <v>27.608</v>
      </c>
      <c r="K38" s="15">
        <f>D38*0.15*G38</f>
        <v>4.1412</v>
      </c>
      <c r="L38" s="15">
        <f>(0.66*0.66-3.14*0.18*0.18)*D38</f>
        <v>6.7774392</v>
      </c>
      <c r="M38" s="15">
        <f>0.66*D38*2</f>
        <v>26.796</v>
      </c>
      <c r="N38" s="15">
        <f>J38-L38-3.14*0.18*0.18*D38-K38</f>
        <v>14.62412</v>
      </c>
      <c r="XEZ38"/>
    </row>
    <row r="39" s="1" customFormat="1" spans="2:16380">
      <c r="B39" s="5"/>
      <c r="C39" s="5"/>
      <c r="D39" s="5"/>
      <c r="E39" s="6"/>
      <c r="F39" s="5"/>
      <c r="G39" s="6"/>
      <c r="H39" s="5"/>
      <c r="I39" s="6"/>
      <c r="J39" s="15"/>
      <c r="K39" s="15"/>
      <c r="L39" s="15"/>
      <c r="M39" s="15"/>
      <c r="N39" s="15"/>
      <c r="XEZ39"/>
    </row>
    <row r="40" s="1" customFormat="1" spans="2:16380">
      <c r="B40" s="5" t="s">
        <v>166</v>
      </c>
      <c r="C40" s="5">
        <v>2</v>
      </c>
      <c r="D40" s="5">
        <f>24.5+0.5+1.7+0.5</f>
        <v>27.2</v>
      </c>
      <c r="E40" s="6" t="s">
        <v>202</v>
      </c>
      <c r="F40" s="5">
        <v>1</v>
      </c>
      <c r="G40" s="6">
        <f>0.36+0.15+0.15+0.35*2</f>
        <v>1.36</v>
      </c>
      <c r="H40" s="5">
        <f>0.36+0.15+0.15+0.35*2</f>
        <v>1.36</v>
      </c>
      <c r="I40" s="6">
        <f>H40*F40</f>
        <v>1.36</v>
      </c>
      <c r="J40" s="15">
        <f>I40*D40</f>
        <v>36.992</v>
      </c>
      <c r="K40" s="15">
        <f>D40*0.15*G40</f>
        <v>5.5488</v>
      </c>
      <c r="L40" s="15">
        <f>(0.66*0.66-3.14*0.18*0.18)*D40</f>
        <v>9.0811008</v>
      </c>
      <c r="M40" s="15">
        <f>0.66*D40*2</f>
        <v>35.904</v>
      </c>
      <c r="N40" s="15">
        <f>J40-L40-3.14*0.18*0.18*D40-K40</f>
        <v>19.59488</v>
      </c>
      <c r="XEZ40"/>
    </row>
    <row r="41" s="1" customFormat="1" ht="14.4" customHeight="1" spans="2:16380">
      <c r="B41" s="5"/>
      <c r="C41" s="5"/>
      <c r="D41" s="5"/>
      <c r="E41" s="6"/>
      <c r="F41" s="5"/>
      <c r="G41" s="6"/>
      <c r="H41" s="5"/>
      <c r="I41" s="6"/>
      <c r="J41" s="15"/>
      <c r="K41" s="15"/>
      <c r="L41" s="15"/>
      <c r="M41" s="15"/>
      <c r="N41" s="15"/>
      <c r="XEZ41"/>
    </row>
    <row r="42" s="1" customFormat="1" spans="2:16380">
      <c r="B42" s="5" t="s">
        <v>168</v>
      </c>
      <c r="C42" s="5">
        <v>4</v>
      </c>
      <c r="D42" s="5">
        <f>31.3+41.8+20.2+2.6+2</f>
        <v>97.9</v>
      </c>
      <c r="E42" s="6" t="s">
        <v>202</v>
      </c>
      <c r="F42" s="5">
        <v>1</v>
      </c>
      <c r="G42" s="6">
        <f>0.36+0.15+0.15+0.35*2</f>
        <v>1.36</v>
      </c>
      <c r="H42" s="5">
        <f>0.36+0.15+0.15+0.35*2</f>
        <v>1.36</v>
      </c>
      <c r="I42" s="6">
        <f>H42*F42</f>
        <v>1.36</v>
      </c>
      <c r="J42" s="15">
        <f>I42*D42</f>
        <v>133.144</v>
      </c>
      <c r="K42" s="15">
        <f>D42*0.15*G42</f>
        <v>19.9716</v>
      </c>
      <c r="L42" s="15">
        <f>(0.66*0.66-3.14*0.18*0.18)*D42</f>
        <v>32.6852856</v>
      </c>
      <c r="M42" s="15">
        <f>0.66*D42*2</f>
        <v>129.228</v>
      </c>
      <c r="N42" s="15">
        <f>J42-L42-3.14*0.18*0.18*D42-K42</f>
        <v>70.52716</v>
      </c>
      <c r="XEZ42"/>
    </row>
    <row r="43" s="1" customFormat="1" spans="2:16380">
      <c r="B43" s="5"/>
      <c r="C43" s="5"/>
      <c r="D43" s="5"/>
      <c r="E43" s="6"/>
      <c r="F43" s="5"/>
      <c r="G43" s="6"/>
      <c r="H43" s="5"/>
      <c r="I43" s="6"/>
      <c r="J43" s="15"/>
      <c r="K43" s="15"/>
      <c r="L43" s="15"/>
      <c r="M43" s="15"/>
      <c r="N43" s="15"/>
      <c r="XEZ43"/>
    </row>
    <row r="44" s="1" customFormat="1" spans="2:16380">
      <c r="B44" s="5" t="s">
        <v>174</v>
      </c>
      <c r="C44" s="5">
        <v>4</v>
      </c>
      <c r="D44" s="5">
        <f>25.6+21.4+1.2+12.4+2</f>
        <v>62.6</v>
      </c>
      <c r="E44" s="6" t="s">
        <v>202</v>
      </c>
      <c r="F44" s="5">
        <v>1</v>
      </c>
      <c r="G44" s="6">
        <f>0.36+0.15+0.15+0.35*2</f>
        <v>1.36</v>
      </c>
      <c r="H44" s="5">
        <f>0.36+0.15+0.15+0.35*2</f>
        <v>1.36</v>
      </c>
      <c r="I44" s="6">
        <f>H44*F44</f>
        <v>1.36</v>
      </c>
      <c r="J44" s="15">
        <f>I44*D44</f>
        <v>85.136</v>
      </c>
      <c r="K44" s="15">
        <f>D44*0.15*G44</f>
        <v>12.7704</v>
      </c>
      <c r="L44" s="15">
        <f>(0.66*0.66-3.14*0.18*0.18)*D44</f>
        <v>20.8998864</v>
      </c>
      <c r="M44" s="15">
        <f>0.66*D44*2</f>
        <v>82.632</v>
      </c>
      <c r="N44" s="15">
        <f>J44-L44-3.14*0.18*0.18*D44-K44</f>
        <v>45.09704</v>
      </c>
      <c r="XEZ44"/>
    </row>
    <row r="45" s="1" customFormat="1" spans="2:16380">
      <c r="B45" s="5"/>
      <c r="C45" s="5"/>
      <c r="D45" s="5"/>
      <c r="E45" s="6"/>
      <c r="F45" s="5"/>
      <c r="G45" s="6"/>
      <c r="H45" s="5"/>
      <c r="I45" s="6"/>
      <c r="J45" s="15"/>
      <c r="K45" s="15"/>
      <c r="L45" s="15"/>
      <c r="M45" s="15"/>
      <c r="N45" s="15"/>
      <c r="XEZ45"/>
    </row>
    <row r="46" s="1" customFormat="1" spans="2:16380">
      <c r="B46" s="5" t="s">
        <v>176</v>
      </c>
      <c r="C46" s="5">
        <v>2</v>
      </c>
      <c r="D46" s="5">
        <f>21.3+1.4+1</f>
        <v>23.7</v>
      </c>
      <c r="E46" s="6" t="s">
        <v>202</v>
      </c>
      <c r="F46" s="5">
        <v>1</v>
      </c>
      <c r="G46" s="6">
        <f>0.36+0.15+0.15+0.35*2</f>
        <v>1.36</v>
      </c>
      <c r="H46" s="5">
        <f>0.36+0.15+0.15+0.35*2</f>
        <v>1.36</v>
      </c>
      <c r="I46" s="6">
        <f>H46*F46</f>
        <v>1.36</v>
      </c>
      <c r="J46" s="15">
        <f>I46*D46</f>
        <v>32.232</v>
      </c>
      <c r="K46" s="15">
        <f>D46*0.15*G46</f>
        <v>4.8348</v>
      </c>
      <c r="L46" s="15">
        <f>(0.66*0.66-3.14*0.18*0.18)*D46</f>
        <v>7.9125768</v>
      </c>
      <c r="M46" s="15">
        <f>0.66*D46*2</f>
        <v>31.284</v>
      </c>
      <c r="N46" s="15">
        <f>J46-L46-3.14*0.18*0.18*D46-K46</f>
        <v>17.07348</v>
      </c>
      <c r="XEZ46"/>
    </row>
    <row r="47" s="1" customFormat="1" spans="2:16380">
      <c r="B47" s="5"/>
      <c r="C47" s="5"/>
      <c r="D47" s="5"/>
      <c r="E47" s="6"/>
      <c r="F47" s="5"/>
      <c r="G47" s="6"/>
      <c r="H47" s="5"/>
      <c r="I47" s="6"/>
      <c r="J47" s="15"/>
      <c r="K47" s="15"/>
      <c r="L47" s="15"/>
      <c r="M47" s="15"/>
      <c r="N47" s="15"/>
      <c r="XEZ47"/>
    </row>
    <row r="48" s="1" customFormat="1" spans="2:16380">
      <c r="B48" s="5" t="s">
        <v>178</v>
      </c>
      <c r="C48" s="5">
        <v>2</v>
      </c>
      <c r="D48" s="5">
        <f>21.2+1.4+1</f>
        <v>23.6</v>
      </c>
      <c r="E48" s="6" t="s">
        <v>202</v>
      </c>
      <c r="F48" s="5">
        <v>1</v>
      </c>
      <c r="G48" s="6">
        <f>0.36+0.15+0.15+0.35*2</f>
        <v>1.36</v>
      </c>
      <c r="H48" s="5">
        <f>0.36+0.15+0.15+0.35*2</f>
        <v>1.36</v>
      </c>
      <c r="I48" s="6">
        <f>H48*F48</f>
        <v>1.36</v>
      </c>
      <c r="J48" s="15">
        <f>I48*D48</f>
        <v>32.096</v>
      </c>
      <c r="K48" s="15">
        <f>D48*0.15*G48</f>
        <v>4.8144</v>
      </c>
      <c r="L48" s="15">
        <f>(0.66*0.66-3.14*0.18*0.18)*D48</f>
        <v>7.8791904</v>
      </c>
      <c r="M48" s="15">
        <f>0.66*D48*2</f>
        <v>31.152</v>
      </c>
      <c r="N48" s="15">
        <f>J48-L48-3.14*0.18*0.18*D48-K48</f>
        <v>17.00144</v>
      </c>
      <c r="XEZ48"/>
    </row>
    <row r="49" s="1" customFormat="1" spans="2:16380">
      <c r="B49" s="5"/>
      <c r="C49" s="5"/>
      <c r="D49" s="5"/>
      <c r="E49" s="6"/>
      <c r="F49" s="5"/>
      <c r="G49" s="6"/>
      <c r="H49" s="5"/>
      <c r="I49" s="6"/>
      <c r="J49" s="15"/>
      <c r="K49" s="15"/>
      <c r="L49" s="15"/>
      <c r="M49" s="15"/>
      <c r="N49" s="15"/>
      <c r="XEZ49"/>
    </row>
    <row r="50" s="1" customFormat="1" spans="2:16380">
      <c r="B50" s="5" t="s">
        <v>180</v>
      </c>
      <c r="C50" s="5">
        <v>2</v>
      </c>
      <c r="D50" s="5">
        <f>24.7+1.1+1</f>
        <v>26.8</v>
      </c>
      <c r="E50" s="6" t="s">
        <v>202</v>
      </c>
      <c r="F50" s="5">
        <v>1</v>
      </c>
      <c r="G50" s="6">
        <f>0.36+0.15+0.15+0.35*2</f>
        <v>1.36</v>
      </c>
      <c r="H50" s="5">
        <f>0.36+0.15+0.15+0.35*2</f>
        <v>1.36</v>
      </c>
      <c r="I50" s="6">
        <f>H50*F50</f>
        <v>1.36</v>
      </c>
      <c r="J50" s="15">
        <f>I50*D50</f>
        <v>36.448</v>
      </c>
      <c r="K50" s="15">
        <f>D50*0.15*G50</f>
        <v>5.4672</v>
      </c>
      <c r="L50" s="15">
        <f>(0.66*0.66-3.14*0.18*0.18)*D50</f>
        <v>8.9475552</v>
      </c>
      <c r="M50" s="15">
        <f>0.66*D50*2</f>
        <v>35.376</v>
      </c>
      <c r="N50" s="15">
        <f>J50-L50-3.14*0.18*0.18*D50-K50</f>
        <v>19.30672</v>
      </c>
      <c r="XEZ50"/>
    </row>
    <row r="51" s="1" customFormat="1" spans="2:16380">
      <c r="B51" s="5"/>
      <c r="C51" s="5"/>
      <c r="D51" s="5"/>
      <c r="E51" s="6"/>
      <c r="F51" s="5"/>
      <c r="G51" s="6"/>
      <c r="H51" s="5"/>
      <c r="I51" s="6"/>
      <c r="J51" s="15"/>
      <c r="K51" s="15"/>
      <c r="L51" s="15"/>
      <c r="M51" s="15"/>
      <c r="N51" s="15"/>
      <c r="XEZ51"/>
    </row>
    <row r="52" s="1" customFormat="1" spans="2:16380">
      <c r="B52" s="5" t="s">
        <v>182</v>
      </c>
      <c r="C52" s="5">
        <v>2</v>
      </c>
      <c r="D52" s="5">
        <f>24.5+1.7+1</f>
        <v>27.2</v>
      </c>
      <c r="E52" s="6" t="s">
        <v>202</v>
      </c>
      <c r="F52" s="5">
        <v>1</v>
      </c>
      <c r="G52" s="6">
        <f>0.36+0.15+0.15+0.35*2</f>
        <v>1.36</v>
      </c>
      <c r="H52" s="5">
        <f>0.36+0.15+0.15+0.35*2</f>
        <v>1.36</v>
      </c>
      <c r="I52" s="6">
        <f>H52*F52</f>
        <v>1.36</v>
      </c>
      <c r="J52" s="15">
        <f>I52*D52</f>
        <v>36.992</v>
      </c>
      <c r="K52" s="15">
        <f>D52*0.15*G52</f>
        <v>5.5488</v>
      </c>
      <c r="L52" s="15">
        <f>(0.66*0.66-3.14*0.18*0.18)*D52</f>
        <v>9.0811008</v>
      </c>
      <c r="M52" s="15">
        <f>0.66*D52*2</f>
        <v>35.904</v>
      </c>
      <c r="N52" s="15">
        <f>J52-L52-3.14*0.18*0.18*D52-K52</f>
        <v>19.59488</v>
      </c>
      <c r="XEZ52"/>
    </row>
    <row r="53" s="1" customFormat="1" spans="2:16380">
      <c r="B53" s="5"/>
      <c r="C53" s="5"/>
      <c r="D53" s="5"/>
      <c r="E53" s="6"/>
      <c r="F53" s="5"/>
      <c r="G53" s="6"/>
      <c r="H53" s="5"/>
      <c r="I53" s="6"/>
      <c r="J53" s="15"/>
      <c r="K53" s="15"/>
      <c r="L53" s="15"/>
      <c r="M53" s="15"/>
      <c r="N53" s="15"/>
      <c r="XEZ53"/>
    </row>
    <row r="54" s="1" customFormat="1" spans="2:16380">
      <c r="B54" s="9" t="s">
        <v>203</v>
      </c>
      <c r="C54" s="9">
        <f>SUM(C4:C53)</f>
        <v>54</v>
      </c>
      <c r="D54" s="9">
        <f>SUM(D4:D53)</f>
        <v>717.7</v>
      </c>
      <c r="E54" s="10"/>
      <c r="F54" s="9"/>
      <c r="G54" s="10"/>
      <c r="H54" s="9"/>
      <c r="I54" s="10"/>
      <c r="J54" s="18">
        <f>SUM(J4:J53)</f>
        <v>976.072</v>
      </c>
      <c r="K54" s="18">
        <f>SUM(K4:K53)</f>
        <v>146.4108</v>
      </c>
      <c r="L54" s="18">
        <f>SUM(L4:L53)</f>
        <v>239.6141928</v>
      </c>
      <c r="M54" s="18">
        <f>SUM(M4:M53)</f>
        <v>947.364</v>
      </c>
      <c r="N54" s="18">
        <f>SUM(N4:N53)</f>
        <v>517.03108</v>
      </c>
      <c r="XEZ54"/>
    </row>
    <row r="55" s="1" customFormat="1" spans="2:16380">
      <c r="B55" s="9"/>
      <c r="C55" s="9"/>
      <c r="D55" s="9"/>
      <c r="E55" s="10"/>
      <c r="F55" s="9"/>
      <c r="G55" s="10"/>
      <c r="H55" s="9"/>
      <c r="I55" s="10"/>
      <c r="J55" s="18"/>
      <c r="K55" s="18"/>
      <c r="L55" s="18"/>
      <c r="M55" s="18"/>
      <c r="N55" s="18"/>
      <c r="XEZ55"/>
    </row>
    <row r="56" s="1" customFormat="1" spans="2:16380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XEZ56"/>
    </row>
    <row r="57" s="1" customFormat="1" spans="2:16380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XEZ57"/>
    </row>
  </sheetData>
  <mergeCells count="342">
    <mergeCell ref="B1:N1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G4:G5"/>
    <mergeCell ref="G6:G7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H4:H5"/>
    <mergeCell ref="H6:H7"/>
    <mergeCell ref="H8:H9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I4:I5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J4:J5"/>
    <mergeCell ref="J6:J7"/>
    <mergeCell ref="J8:J9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K4:K5"/>
    <mergeCell ref="K6:K7"/>
    <mergeCell ref="K8:K9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L4:L5"/>
    <mergeCell ref="L6:L7"/>
    <mergeCell ref="L8:L9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M4:M5"/>
    <mergeCell ref="M6:M7"/>
    <mergeCell ref="M8:M9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N4:N5"/>
    <mergeCell ref="N6:N7"/>
    <mergeCell ref="N8:N9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O4:O5"/>
    <mergeCell ref="P4:P5"/>
    <mergeCell ref="B56:N57"/>
  </mergeCells>
  <pageMargins left="0.751388888888889" right="0.751388888888889" top="1" bottom="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XEX31"/>
  <sheetViews>
    <sheetView workbookViewId="0">
      <selection activeCell="B2" sqref="B2"/>
    </sheetView>
  </sheetViews>
  <sheetFormatPr defaultColWidth="9" defaultRowHeight="14.25"/>
  <cols>
    <col min="1" max="1" width="4.38333333333333" style="1" customWidth="1"/>
    <col min="2" max="2" width="9.875" style="1" customWidth="1"/>
    <col min="3" max="3" width="8.375" style="1" customWidth="1"/>
    <col min="4" max="4" width="8.88333333333333" style="1"/>
    <col min="5" max="5" width="9.5" style="1" customWidth="1"/>
    <col min="6" max="6" width="11.6333333333333" style="1" customWidth="1"/>
    <col min="7" max="7" width="9.625" style="1" customWidth="1"/>
    <col min="8" max="8" width="9.25" style="1" customWidth="1"/>
    <col min="9" max="10" width="7.75" style="1" customWidth="1"/>
    <col min="11" max="11" width="10" style="1" customWidth="1"/>
    <col min="12" max="12" width="9.25" style="1"/>
    <col min="13" max="13" width="9.375" style="1"/>
    <col min="14" max="16369" width="8.88333333333333" style="1"/>
    <col min="16370" max="16377" width="9" style="1"/>
    <col min="16379" max="16380" width="9" style="1"/>
  </cols>
  <sheetData>
    <row r="1" s="1" customFormat="1" ht="43" customHeight="1" spans="2:16378">
      <c r="B1" s="2" t="s">
        <v>204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XEX1"/>
    </row>
    <row r="2" s="1" customFormat="1" ht="44.4" customHeight="1" spans="2:16378">
      <c r="B2" s="3" t="s">
        <v>190</v>
      </c>
      <c r="C2" s="3" t="s">
        <v>192</v>
      </c>
      <c r="D2" s="3" t="s">
        <v>193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11" t="s">
        <v>112</v>
      </c>
      <c r="M2" s="12" t="s">
        <v>101</v>
      </c>
      <c r="N2" s="13" t="s">
        <v>200</v>
      </c>
      <c r="XEX2"/>
    </row>
    <row r="3" s="1" customFormat="1" ht="15.75" customHeight="1" spans="2:16378">
      <c r="B3" s="4"/>
      <c r="C3" s="4" t="s">
        <v>13</v>
      </c>
      <c r="D3" s="4"/>
      <c r="E3" s="4" t="s">
        <v>13</v>
      </c>
      <c r="F3" s="4" t="s">
        <v>13</v>
      </c>
      <c r="G3" s="4" t="s">
        <v>13</v>
      </c>
      <c r="H3" s="4" t="s">
        <v>13</v>
      </c>
      <c r="I3" s="4" t="s">
        <v>13</v>
      </c>
      <c r="J3" s="4" t="s">
        <v>14</v>
      </c>
      <c r="K3" s="4" t="s">
        <v>15</v>
      </c>
      <c r="L3" s="4" t="s">
        <v>117</v>
      </c>
      <c r="M3" s="4" t="s">
        <v>118</v>
      </c>
      <c r="N3" s="4" t="s">
        <v>117</v>
      </c>
      <c r="XEX3"/>
    </row>
    <row r="4" s="1" customFormat="1" ht="12.45" customHeight="1" spans="2:16378">
      <c r="B4" s="5" t="s">
        <v>125</v>
      </c>
      <c r="C4" s="5">
        <f>23.8+8</f>
        <v>31.8</v>
      </c>
      <c r="D4" s="6" t="s">
        <v>205</v>
      </c>
      <c r="E4" s="6">
        <f>19.9-1.48</f>
        <v>18.42</v>
      </c>
      <c r="F4" s="6">
        <f>17.9-0.06-0.15</f>
        <v>17.69</v>
      </c>
      <c r="G4" s="8">
        <v>1.37</v>
      </c>
      <c r="H4" s="6">
        <f>0.72+0.45*2</f>
        <v>1.62</v>
      </c>
      <c r="I4" s="5">
        <f>G4*1*2+H4</f>
        <v>4.36</v>
      </c>
      <c r="J4" s="14">
        <f>(H4+I4)*G4/2</f>
        <v>4.0963</v>
      </c>
      <c r="K4" s="15">
        <f>J4*C4*1.025</f>
        <v>133.5188985</v>
      </c>
      <c r="L4" s="15">
        <f>(H4*2+0.15*2)*0.15/2*C4</f>
        <v>8.4429</v>
      </c>
      <c r="M4" s="15">
        <f>((H4+0.15*2*1)+((H4+0.15*2*1)+(G4-0.15)*1*2))*(G4-0.15)/2*C4-3.14*0.36*0.36*C4</f>
        <v>108.8786208</v>
      </c>
      <c r="N4" s="15">
        <f>K4-L4-M4-3.14*0.36*0.36*C4</f>
        <v>3.25655849999999</v>
      </c>
      <c r="O4" s="16"/>
      <c r="XEX4"/>
    </row>
    <row r="5" s="1" customFormat="1" ht="12.45" customHeight="1" spans="2:16378">
      <c r="B5" s="5"/>
      <c r="C5" s="5"/>
      <c r="D5" s="6"/>
      <c r="E5" s="6"/>
      <c r="F5" s="6"/>
      <c r="G5" s="8"/>
      <c r="H5" s="6"/>
      <c r="I5" s="5"/>
      <c r="J5" s="14"/>
      <c r="K5" s="15"/>
      <c r="L5" s="15"/>
      <c r="M5" s="15"/>
      <c r="N5" s="15"/>
      <c r="O5" s="16"/>
      <c r="XEX5"/>
    </row>
    <row r="6" s="1" customFormat="1" ht="12.45" customHeight="1" spans="2:16378">
      <c r="B6" s="5" t="s">
        <v>129</v>
      </c>
      <c r="C6" s="5">
        <f>28.2+9.6</f>
        <v>37.8</v>
      </c>
      <c r="D6" s="6" t="s">
        <v>205</v>
      </c>
      <c r="E6" s="6">
        <f>19.76-1.48</f>
        <v>18.28</v>
      </c>
      <c r="F6" s="6">
        <f>17.15-0.06-0.15</f>
        <v>16.94</v>
      </c>
      <c r="G6" s="8">
        <v>1.37</v>
      </c>
      <c r="H6" s="6">
        <f>0.72+0.45*2</f>
        <v>1.62</v>
      </c>
      <c r="I6" s="5">
        <f>G6*1*2+H6</f>
        <v>4.36</v>
      </c>
      <c r="J6" s="14">
        <f>(H6+I6)*G6/2</f>
        <v>4.0963</v>
      </c>
      <c r="K6" s="15">
        <f>J6*C6*1.025</f>
        <v>158.7111435</v>
      </c>
      <c r="L6" s="15">
        <f>(H6*2+0.15*2)*0.15/2*C6</f>
        <v>10.0359</v>
      </c>
      <c r="M6" s="15">
        <f>((H6+0.15*2*1)+((H6+0.15*2*1)+(G6-0.15)*1*2))*(G6-0.15)/2*C6-3.14*0.36*0.36*C6</f>
        <v>129.4217568</v>
      </c>
      <c r="N6" s="15">
        <f>K6-L6-M6-3.14*0.36*0.36*C6</f>
        <v>3.87100349999994</v>
      </c>
      <c r="O6" s="16"/>
      <c r="XEX6"/>
    </row>
    <row r="7" s="1" customFormat="1" ht="12.45" customHeight="1" spans="2:16378">
      <c r="B7" s="5"/>
      <c r="C7" s="5"/>
      <c r="D7" s="6"/>
      <c r="E7" s="6"/>
      <c r="F7" s="6"/>
      <c r="G7" s="8"/>
      <c r="H7" s="6"/>
      <c r="I7" s="5"/>
      <c r="J7" s="14"/>
      <c r="K7" s="15"/>
      <c r="L7" s="15"/>
      <c r="M7" s="15"/>
      <c r="N7" s="15"/>
      <c r="O7" s="16"/>
      <c r="XEX7"/>
    </row>
    <row r="8" s="1" customFormat="1" ht="12.45" customHeight="1" spans="2:16378">
      <c r="B8" s="5" t="s">
        <v>136</v>
      </c>
      <c r="C8" s="5">
        <f>31.2+9.9</f>
        <v>41.1</v>
      </c>
      <c r="D8" s="6" t="s">
        <v>205</v>
      </c>
      <c r="E8" s="6">
        <f>19.83-1.48</f>
        <v>18.35</v>
      </c>
      <c r="F8" s="6">
        <f>16.53-0.06-0.15</f>
        <v>16.32</v>
      </c>
      <c r="G8" s="7">
        <f>E8-F8</f>
        <v>2.02999999999999</v>
      </c>
      <c r="H8" s="6">
        <f>0.72+0.45*2</f>
        <v>1.62</v>
      </c>
      <c r="I8" s="5">
        <f>G8*1*2+H8</f>
        <v>5.67999999999999</v>
      </c>
      <c r="J8" s="14">
        <f>(H8+I8)*G8/2</f>
        <v>7.40949999999997</v>
      </c>
      <c r="K8" s="15">
        <f>J8*C8*1.025</f>
        <v>312.143711249999</v>
      </c>
      <c r="L8" s="15">
        <f>(H8*2+0.15*2)*0.15/2*C8</f>
        <v>10.91205</v>
      </c>
      <c r="M8" s="15">
        <f>((H8+0.15*2*1)+((H8+0.15*2*1)+(G8-0.15)*1*2))*(G8-0.15)/2*C8-3.14*0.36*0.36*C8</f>
        <v>276.893001599999</v>
      </c>
      <c r="N8" s="15">
        <f>K8-L8-M8-3.14*0.36*0.36*C8</f>
        <v>7.61326124999995</v>
      </c>
      <c r="O8" s="16"/>
      <c r="XEX8"/>
    </row>
    <row r="9" s="1" customFormat="1" ht="12.45" customHeight="1" spans="2:16378">
      <c r="B9" s="5"/>
      <c r="C9" s="5"/>
      <c r="D9" s="6"/>
      <c r="E9" s="6"/>
      <c r="F9" s="6"/>
      <c r="G9" s="7"/>
      <c r="H9" s="6"/>
      <c r="I9" s="5"/>
      <c r="J9" s="14"/>
      <c r="K9" s="15"/>
      <c r="L9" s="15"/>
      <c r="M9" s="15"/>
      <c r="N9" s="15"/>
      <c r="O9" s="16"/>
      <c r="XEX9"/>
    </row>
    <row r="10" s="1" customFormat="1" ht="12.45" customHeight="1" spans="2:16378">
      <c r="B10" s="5" t="s">
        <v>147</v>
      </c>
      <c r="C10" s="5">
        <f>23.8+8</f>
        <v>31.8</v>
      </c>
      <c r="D10" s="6" t="s">
        <v>205</v>
      </c>
      <c r="E10" s="6">
        <f>19.92-1.48</f>
        <v>18.44</v>
      </c>
      <c r="F10" s="6">
        <f>17.2-0.06-0.15</f>
        <v>16.99</v>
      </c>
      <c r="G10" s="7">
        <f>E10-F10</f>
        <v>1.45</v>
      </c>
      <c r="H10" s="6">
        <f>0.72+0.45*2</f>
        <v>1.62</v>
      </c>
      <c r="I10" s="5">
        <f>G10*1*2+H10</f>
        <v>4.52</v>
      </c>
      <c r="J10" s="14">
        <f>(H10+I10)*G10/2</f>
        <v>4.4515</v>
      </c>
      <c r="K10" s="15">
        <f>J10*C10*1.025</f>
        <v>145.0966425</v>
      </c>
      <c r="L10" s="15">
        <f>(H10*2+0.15*2)*0.15/2*C10</f>
        <v>8.4429</v>
      </c>
      <c r="M10" s="15">
        <f>((H10+0.15*2*1)+((H10+0.15*2*1)+(G10-0.15)*1*2))*(G10-0.15)/2*C10-3.14*0.36*0.36*C10</f>
        <v>120.1739808</v>
      </c>
      <c r="N10" s="15">
        <f>K10-L10-M10-3.14*0.36*0.36*C10</f>
        <v>3.53894249999997</v>
      </c>
      <c r="O10" s="16"/>
      <c r="XEX10"/>
    </row>
    <row r="11" s="1" customFormat="1" ht="12.45" customHeight="1" spans="2:16378">
      <c r="B11" s="5"/>
      <c r="C11" s="5"/>
      <c r="D11" s="6"/>
      <c r="E11" s="6"/>
      <c r="F11" s="6"/>
      <c r="G11" s="7"/>
      <c r="H11" s="6"/>
      <c r="I11" s="5"/>
      <c r="J11" s="14"/>
      <c r="K11" s="15"/>
      <c r="L11" s="15"/>
      <c r="M11" s="15"/>
      <c r="N11" s="15"/>
      <c r="O11" s="16"/>
      <c r="XEX11"/>
    </row>
    <row r="12" s="1" customFormat="1" ht="12.45" customHeight="1" spans="2:16378">
      <c r="B12" s="5" t="s">
        <v>151</v>
      </c>
      <c r="C12" s="5">
        <f>33.6+9.1</f>
        <v>42.7</v>
      </c>
      <c r="D12" s="6" t="s">
        <v>205</v>
      </c>
      <c r="E12" s="6">
        <f>19.64-1.48</f>
        <v>18.16</v>
      </c>
      <c r="F12" s="6">
        <f>17.16-0.06-0.15</f>
        <v>16.95</v>
      </c>
      <c r="G12" s="8">
        <v>1.37</v>
      </c>
      <c r="H12" s="6">
        <f>0.72+0.45*2</f>
        <v>1.62</v>
      </c>
      <c r="I12" s="5">
        <f>G12*1*2+H12</f>
        <v>4.36</v>
      </c>
      <c r="J12" s="14">
        <f>(H12+I12)*G12/2</f>
        <v>4.0963</v>
      </c>
      <c r="K12" s="15">
        <f>J12*C12*1.025</f>
        <v>179.28481025</v>
      </c>
      <c r="L12" s="15">
        <f>(H12*2+0.15*2)*0.15/2*C12</f>
        <v>11.33685</v>
      </c>
      <c r="M12" s="15">
        <f>((H12+0.15*2*1)+((H12+0.15*2*1)+(G12-0.15)*1*2))*(G12-0.15)/2*C12-3.14*0.36*0.36*C12</f>
        <v>146.1986512</v>
      </c>
      <c r="N12" s="15">
        <f>K12-L12-M12-3.14*0.36*0.36*C12</f>
        <v>4.37280024999996</v>
      </c>
      <c r="O12" s="16"/>
      <c r="XEX12"/>
    </row>
    <row r="13" s="1" customFormat="1" ht="12.45" customHeight="1" spans="2:16378">
      <c r="B13" s="5"/>
      <c r="C13" s="5"/>
      <c r="D13" s="6"/>
      <c r="E13" s="6"/>
      <c r="F13" s="6"/>
      <c r="G13" s="8"/>
      <c r="H13" s="6"/>
      <c r="I13" s="5"/>
      <c r="J13" s="14"/>
      <c r="K13" s="15"/>
      <c r="L13" s="15"/>
      <c r="M13" s="15"/>
      <c r="N13" s="15"/>
      <c r="O13" s="16"/>
      <c r="XEX13"/>
    </row>
    <row r="14" s="1" customFormat="1" ht="12.45" customHeight="1" spans="2:16378">
      <c r="B14" s="5" t="s">
        <v>153</v>
      </c>
      <c r="C14" s="5">
        <f>30.8+8.8</f>
        <v>39.6</v>
      </c>
      <c r="D14" s="6" t="s">
        <v>205</v>
      </c>
      <c r="E14" s="6">
        <f>19.2-1.48</f>
        <v>17.72</v>
      </c>
      <c r="F14" s="6">
        <f>17.1-0.06-0.15</f>
        <v>16.89</v>
      </c>
      <c r="G14" s="8">
        <v>1.37</v>
      </c>
      <c r="H14" s="6">
        <f>0.72+0.45*2</f>
        <v>1.62</v>
      </c>
      <c r="I14" s="5">
        <f>G14*1*2+H14</f>
        <v>4.36</v>
      </c>
      <c r="J14" s="14">
        <f>(H14+I14)*G14/2</f>
        <v>4.0963</v>
      </c>
      <c r="K14" s="15">
        <f>J14*C14*1.025</f>
        <v>166.268817</v>
      </c>
      <c r="L14" s="15">
        <f>(H14*2+0.15*2)*0.15/2*C14</f>
        <v>10.5138</v>
      </c>
      <c r="M14" s="15">
        <f>((H14+0.15*2*1)+((H14+0.15*2*1)+(G14-0.15)*1*2))*(G14-0.15)/2*C14-3.14*0.36*0.36*C14</f>
        <v>135.5846976</v>
      </c>
      <c r="N14" s="15">
        <f>K14-L14-M14-3.14*0.36*0.36*C14</f>
        <v>4.05533699999995</v>
      </c>
      <c r="O14" s="16"/>
      <c r="XEX14"/>
    </row>
    <row r="15" s="1" customFormat="1" ht="12.45" customHeight="1" spans="2:16378">
      <c r="B15" s="5"/>
      <c r="C15" s="5"/>
      <c r="D15" s="6"/>
      <c r="E15" s="6"/>
      <c r="F15" s="6"/>
      <c r="G15" s="8"/>
      <c r="H15" s="6"/>
      <c r="I15" s="5"/>
      <c r="J15" s="14"/>
      <c r="K15" s="15"/>
      <c r="L15" s="15"/>
      <c r="M15" s="15"/>
      <c r="N15" s="15"/>
      <c r="O15" s="16"/>
      <c r="XEX15"/>
    </row>
    <row r="16" s="1" customFormat="1" ht="12.45" customHeight="1" spans="2:16378">
      <c r="B16" s="5" t="s">
        <v>157</v>
      </c>
      <c r="C16" s="5">
        <f>25+8.1</f>
        <v>33.1</v>
      </c>
      <c r="D16" s="6" t="s">
        <v>205</v>
      </c>
      <c r="E16" s="6">
        <f>19.31-1.48</f>
        <v>17.83</v>
      </c>
      <c r="F16" s="6">
        <f>(17+17.34)/2-0.06-0.15</f>
        <v>16.96</v>
      </c>
      <c r="G16" s="8">
        <v>1.37</v>
      </c>
      <c r="H16" s="6">
        <f>0.72+0.45*2</f>
        <v>1.62</v>
      </c>
      <c r="I16" s="5">
        <f>G16*1*2+H16</f>
        <v>4.36</v>
      </c>
      <c r="J16" s="14">
        <f>(H16+I16)*G16/2</f>
        <v>4.0963</v>
      </c>
      <c r="K16" s="15">
        <f>J16*C16*1.025</f>
        <v>138.97721825</v>
      </c>
      <c r="L16" s="15">
        <f>(H16*2+0.15*2)*0.15/2*C16</f>
        <v>8.78805</v>
      </c>
      <c r="M16" s="15">
        <f>((H16+0.15*2*1)+((H16+0.15*2*1)+(G16-0.15)*1*2))*(G16-0.15)/2*C16-3.14*0.36*0.36*C16</f>
        <v>113.3296336</v>
      </c>
      <c r="N16" s="15">
        <f>K16-L16-M16-3.14*0.36*0.36*C16</f>
        <v>3.38968824999997</v>
      </c>
      <c r="O16" s="16"/>
      <c r="XEX16"/>
    </row>
    <row r="17" s="1" customFormat="1" ht="12.45" customHeight="1" spans="2:16378">
      <c r="B17" s="5"/>
      <c r="C17" s="5"/>
      <c r="D17" s="6"/>
      <c r="E17" s="6"/>
      <c r="F17" s="6"/>
      <c r="G17" s="8"/>
      <c r="H17" s="6"/>
      <c r="I17" s="5"/>
      <c r="J17" s="14"/>
      <c r="K17" s="15"/>
      <c r="L17" s="15"/>
      <c r="M17" s="15"/>
      <c r="N17" s="15"/>
      <c r="O17" s="16"/>
      <c r="XEX17"/>
    </row>
    <row r="18" s="1" customFormat="1" ht="12.45" customHeight="1" spans="2:16378">
      <c r="B18" s="5" t="s">
        <v>164</v>
      </c>
      <c r="C18" s="5">
        <f>27.5+8.5</f>
        <v>36</v>
      </c>
      <c r="D18" s="6" t="s">
        <v>205</v>
      </c>
      <c r="E18" s="6">
        <f>19.83-1.48</f>
        <v>18.35</v>
      </c>
      <c r="F18" s="6">
        <f>16.31-0.06-0.15</f>
        <v>16.1</v>
      </c>
      <c r="G18" s="7">
        <f>E18-F18</f>
        <v>2.25</v>
      </c>
      <c r="H18" s="6">
        <f>0.72+0.45*2</f>
        <v>1.62</v>
      </c>
      <c r="I18" s="5">
        <f>G18*1*2+H18</f>
        <v>6.11999999999999</v>
      </c>
      <c r="J18" s="14">
        <f>(H18+I18)*G18/2</f>
        <v>8.70749999999998</v>
      </c>
      <c r="K18" s="15">
        <f>J18*C18*1.025</f>
        <v>321.306749999999</v>
      </c>
      <c r="L18" s="15">
        <f>(H18*2+0.15*2)*0.15/2*C18</f>
        <v>9.558</v>
      </c>
      <c r="M18" s="15">
        <f>((H18+0.15*2*1)+((H18+0.15*2*1)+(G18-0.15)*1*2))*(G18-0.15)/2*C18-3.14*0.36*0.36*C18</f>
        <v>289.262015999999</v>
      </c>
      <c r="N18" s="15">
        <f>K18-L18-M18-3.14*0.36*0.36*C18</f>
        <v>7.83674999999995</v>
      </c>
      <c r="O18" s="16"/>
      <c r="XEX18"/>
    </row>
    <row r="19" s="1" customFormat="1" ht="12.45" customHeight="1" spans="2:16378">
      <c r="B19" s="5"/>
      <c r="C19" s="5"/>
      <c r="D19" s="6"/>
      <c r="E19" s="6"/>
      <c r="F19" s="6"/>
      <c r="G19" s="7"/>
      <c r="H19" s="6"/>
      <c r="I19" s="5"/>
      <c r="J19" s="14"/>
      <c r="K19" s="15"/>
      <c r="L19" s="15"/>
      <c r="M19" s="15"/>
      <c r="N19" s="15"/>
      <c r="O19" s="16"/>
      <c r="XEX19"/>
    </row>
    <row r="20" s="1" customFormat="1" ht="12.45" customHeight="1" spans="2:16378">
      <c r="B20" s="5" t="s">
        <v>178</v>
      </c>
      <c r="C20" s="5">
        <f>27.5+10.8</f>
        <v>38.3</v>
      </c>
      <c r="D20" s="6" t="s">
        <v>205</v>
      </c>
      <c r="E20" s="6">
        <f>19.86-1.48</f>
        <v>18.38</v>
      </c>
      <c r="F20" s="6">
        <f>16.92-0.06-0.15</f>
        <v>16.71</v>
      </c>
      <c r="G20" s="7">
        <f>E20-F20</f>
        <v>1.66999999999999</v>
      </c>
      <c r="H20" s="6">
        <f>0.72+0.45*2</f>
        <v>1.62</v>
      </c>
      <c r="I20" s="5">
        <f>G20*1*2+H20</f>
        <v>4.95999999999999</v>
      </c>
      <c r="J20" s="14">
        <f>(H20+I20)*G20/2</f>
        <v>5.49429999999997</v>
      </c>
      <c r="K20" s="15">
        <f>J20*C20*1.025</f>
        <v>215.692482249999</v>
      </c>
      <c r="L20" s="15">
        <f>(H20*2+0.15*2)*0.15/2*C20</f>
        <v>10.16865</v>
      </c>
      <c r="M20" s="15">
        <f>((H20+0.15*2*1)+((H20+0.15*2*1)+(G20-0.15)*1*2))*(G20-0.15)/2*C20-3.14*0.36*0.36*C20</f>
        <v>184.677084799999</v>
      </c>
      <c r="N20" s="15">
        <f>K20-L20-M20-3.14*0.36*0.36*C20</f>
        <v>5.26079224999992</v>
      </c>
      <c r="O20" s="16"/>
      <c r="XEX20"/>
    </row>
    <row r="21" s="1" customFormat="1" ht="12.45" customHeight="1" spans="2:16378">
      <c r="B21" s="5"/>
      <c r="C21" s="5"/>
      <c r="D21" s="6"/>
      <c r="E21" s="6"/>
      <c r="F21" s="6"/>
      <c r="G21" s="7"/>
      <c r="H21" s="6"/>
      <c r="I21" s="5"/>
      <c r="J21" s="14"/>
      <c r="K21" s="15"/>
      <c r="L21" s="15"/>
      <c r="M21" s="15"/>
      <c r="N21" s="15"/>
      <c r="O21" s="16"/>
      <c r="XEX21"/>
    </row>
    <row r="22" s="1" customFormat="1" ht="12.45" customHeight="1" spans="2:16378">
      <c r="B22" s="5" t="s">
        <v>182</v>
      </c>
      <c r="C22" s="5">
        <f>31.3+8.2</f>
        <v>39.5</v>
      </c>
      <c r="D22" s="6" t="s">
        <v>205</v>
      </c>
      <c r="E22" s="6">
        <f>19.62-1.48</f>
        <v>18.14</v>
      </c>
      <c r="F22" s="6">
        <f>17.2-0.06-0.15</f>
        <v>16.99</v>
      </c>
      <c r="G22" s="8">
        <v>1.37</v>
      </c>
      <c r="H22" s="6">
        <f>0.72+0.45*2</f>
        <v>1.62</v>
      </c>
      <c r="I22" s="5">
        <f>G22*1*2+H22</f>
        <v>4.36</v>
      </c>
      <c r="J22" s="14">
        <f>(H22+I22)*G22/2</f>
        <v>4.0963</v>
      </c>
      <c r="K22" s="15">
        <f>J22*C22*1.025</f>
        <v>165.84894625</v>
      </c>
      <c r="L22" s="15">
        <f>(H22*2+0.15*2)*0.15/2*C22</f>
        <v>10.48725</v>
      </c>
      <c r="M22" s="15">
        <f>((H22+0.15*2*1)+((H22+0.15*2*1)+(G22-0.15)*1*2))*(G22-0.15)/2*C22-3.14*0.36*0.36*C22</f>
        <v>135.242312</v>
      </c>
      <c r="N22" s="15">
        <f>K22-L22-M22-3.14*0.36*0.36*C22</f>
        <v>4.04509624999996</v>
      </c>
      <c r="O22" s="16"/>
      <c r="XEX22"/>
    </row>
    <row r="23" s="1" customFormat="1" ht="12.45" customHeight="1" spans="2:16378">
      <c r="B23" s="5"/>
      <c r="C23" s="5"/>
      <c r="D23" s="6"/>
      <c r="E23" s="6"/>
      <c r="F23" s="6"/>
      <c r="G23" s="8"/>
      <c r="H23" s="6"/>
      <c r="I23" s="5"/>
      <c r="J23" s="14"/>
      <c r="K23" s="15"/>
      <c r="L23" s="15"/>
      <c r="M23" s="15"/>
      <c r="N23" s="15"/>
      <c r="O23" s="16"/>
      <c r="XEX23"/>
    </row>
    <row r="24" s="1" customFormat="1" ht="12.45" customHeight="1" spans="2:16378">
      <c r="B24" s="5"/>
      <c r="C24" s="5"/>
      <c r="D24" s="6"/>
      <c r="E24" s="6"/>
      <c r="F24" s="6"/>
      <c r="G24" s="6"/>
      <c r="H24" s="6"/>
      <c r="I24" s="5"/>
      <c r="J24" s="14"/>
      <c r="K24" s="15"/>
      <c r="L24" s="15"/>
      <c r="M24" s="15"/>
      <c r="N24" s="15"/>
      <c r="O24" s="16"/>
      <c r="XEX24"/>
    </row>
    <row r="25" s="1" customFormat="1" ht="12.45" customHeight="1" spans="2:16378">
      <c r="B25" s="5"/>
      <c r="C25" s="5"/>
      <c r="D25" s="6"/>
      <c r="E25" s="6"/>
      <c r="F25" s="6"/>
      <c r="G25" s="6"/>
      <c r="H25" s="6"/>
      <c r="I25" s="5"/>
      <c r="J25" s="14"/>
      <c r="K25" s="15"/>
      <c r="L25" s="15"/>
      <c r="M25" s="15"/>
      <c r="N25" s="15"/>
      <c r="O25" s="16"/>
      <c r="XEX25"/>
    </row>
    <row r="26" s="1" customFormat="1" ht="12.45" customHeight="1" spans="2:16378">
      <c r="B26" s="19" t="s">
        <v>206</v>
      </c>
      <c r="C26" s="5"/>
      <c r="D26" s="10" t="s">
        <v>207</v>
      </c>
      <c r="E26" s="6"/>
      <c r="F26" s="6"/>
      <c r="G26" s="6"/>
      <c r="H26" s="6"/>
      <c r="I26" s="5"/>
      <c r="J26" s="14"/>
      <c r="K26" s="15"/>
      <c r="L26" s="15"/>
      <c r="M26" s="15"/>
      <c r="N26" s="15"/>
      <c r="O26" s="16"/>
      <c r="XEX26"/>
    </row>
    <row r="27" s="1" customFormat="1" ht="12.45" customHeight="1" spans="2:16378">
      <c r="B27" s="19"/>
      <c r="C27" s="5"/>
      <c r="D27" s="10"/>
      <c r="E27" s="6"/>
      <c r="F27" s="6"/>
      <c r="G27" s="6"/>
      <c r="H27" s="6"/>
      <c r="I27" s="5"/>
      <c r="J27" s="14"/>
      <c r="K27" s="15"/>
      <c r="L27" s="15"/>
      <c r="M27" s="15"/>
      <c r="N27" s="15"/>
      <c r="O27" s="16"/>
      <c r="XEX27"/>
    </row>
    <row r="28" s="1" customFormat="1" spans="2:16378">
      <c r="B28" s="9" t="s">
        <v>203</v>
      </c>
      <c r="C28" s="9">
        <f>SUM(C4:C27)</f>
        <v>371.7</v>
      </c>
      <c r="D28" s="10"/>
      <c r="E28" s="6"/>
      <c r="F28" s="6"/>
      <c r="G28" s="6"/>
      <c r="H28" s="10"/>
      <c r="I28" s="9"/>
      <c r="J28" s="10"/>
      <c r="K28" s="18">
        <f>SUM(K4:K27)</f>
        <v>1936.84941975</v>
      </c>
      <c r="L28" s="18">
        <f>SUM(L4:L27)</f>
        <v>98.68635</v>
      </c>
      <c r="M28" s="18">
        <f>SUM(M4:M27)</f>
        <v>1639.6617552</v>
      </c>
      <c r="N28" s="18">
        <f>SUM(N4:N27)</f>
        <v>47.2402297499996</v>
      </c>
      <c r="XEX28"/>
    </row>
    <row r="29" s="1" customFormat="1" spans="2:16378">
      <c r="B29" s="9"/>
      <c r="C29" s="9"/>
      <c r="D29" s="10"/>
      <c r="E29" s="6"/>
      <c r="F29" s="6"/>
      <c r="G29" s="6"/>
      <c r="H29" s="10"/>
      <c r="I29" s="9"/>
      <c r="J29" s="10"/>
      <c r="K29" s="18"/>
      <c r="L29" s="18"/>
      <c r="M29" s="18"/>
      <c r="N29" s="18"/>
      <c r="XEX29"/>
    </row>
    <row r="30" s="1" customFormat="1" spans="2:16378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XEX30"/>
    </row>
    <row r="31" s="1" customFormat="1" spans="2:16378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XEX31"/>
    </row>
  </sheetData>
  <mergeCells count="183">
    <mergeCell ref="B1:N1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G4:G5"/>
    <mergeCell ref="G6:G7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H4:H5"/>
    <mergeCell ref="H6:H7"/>
    <mergeCell ref="H8:H9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I4:I5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J4:J5"/>
    <mergeCell ref="J6:J7"/>
    <mergeCell ref="J8:J9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K4:K5"/>
    <mergeCell ref="K6:K7"/>
    <mergeCell ref="K8:K9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L4:L5"/>
    <mergeCell ref="L6:L7"/>
    <mergeCell ref="L8:L9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M4:M5"/>
    <mergeCell ref="M6:M7"/>
    <mergeCell ref="M8:M9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N4:N5"/>
    <mergeCell ref="N6:N7"/>
    <mergeCell ref="N8:N9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O4:O5"/>
    <mergeCell ref="O6:O7"/>
    <mergeCell ref="O8:O9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B30:N31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XEX27"/>
  <sheetViews>
    <sheetView workbookViewId="0">
      <selection activeCell="H35" sqref="H35"/>
    </sheetView>
  </sheetViews>
  <sheetFormatPr defaultColWidth="9" defaultRowHeight="14.25"/>
  <cols>
    <col min="1" max="1" width="4.38333333333333" style="1" customWidth="1"/>
    <col min="2" max="2" width="7.375" style="1" customWidth="1"/>
    <col min="3" max="3" width="8.375" style="1" customWidth="1"/>
    <col min="4" max="4" width="8.88333333333333" style="1"/>
    <col min="5" max="5" width="8.875" style="1" customWidth="1"/>
    <col min="6" max="7" width="9.875" style="1" customWidth="1"/>
    <col min="8" max="8" width="10.625" style="1" customWidth="1"/>
    <col min="9" max="9" width="10.375" style="1" customWidth="1"/>
    <col min="10" max="10" width="9.55833333333333" style="1" customWidth="1"/>
    <col min="11" max="11" width="10" style="1" customWidth="1"/>
    <col min="12" max="12" width="8.25" style="1" customWidth="1"/>
    <col min="13" max="13" width="9.375" style="1"/>
    <col min="14" max="14" width="7.75" style="1" customWidth="1"/>
    <col min="15" max="16369" width="8.88333333333333" style="1"/>
    <col min="16370" max="16377" width="9" style="1"/>
    <col min="16379" max="16380" width="9" style="1"/>
  </cols>
  <sheetData>
    <row r="1" s="1" customFormat="1" ht="43" customHeight="1" spans="2:16378">
      <c r="B1" s="2" t="s">
        <v>208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XEX1"/>
    </row>
    <row r="2" s="1" customFormat="1" ht="44.4" customHeight="1" spans="2:16378">
      <c r="B2" s="3" t="s">
        <v>190</v>
      </c>
      <c r="C2" s="3" t="s">
        <v>192</v>
      </c>
      <c r="D2" s="3" t="s">
        <v>193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11" t="s">
        <v>112</v>
      </c>
      <c r="M2" s="12" t="s">
        <v>101</v>
      </c>
      <c r="N2" s="13" t="s">
        <v>200</v>
      </c>
      <c r="XEX2"/>
    </row>
    <row r="3" s="1" customFormat="1" ht="15.75" customHeight="1" spans="2:16378">
      <c r="B3" s="4"/>
      <c r="C3" s="4" t="s">
        <v>13</v>
      </c>
      <c r="D3" s="4"/>
      <c r="E3" s="4" t="s">
        <v>13</v>
      </c>
      <c r="F3" s="4" t="s">
        <v>13</v>
      </c>
      <c r="G3" s="4" t="s">
        <v>13</v>
      </c>
      <c r="H3" s="4" t="s">
        <v>13</v>
      </c>
      <c r="I3" s="4" t="s">
        <v>13</v>
      </c>
      <c r="J3" s="4" t="s">
        <v>14</v>
      </c>
      <c r="K3" s="4" t="s">
        <v>15</v>
      </c>
      <c r="L3" s="4" t="s">
        <v>117</v>
      </c>
      <c r="M3" s="4" t="s">
        <v>118</v>
      </c>
      <c r="N3" s="4" t="s">
        <v>117</v>
      </c>
      <c r="XEX3"/>
    </row>
    <row r="4" s="1" customFormat="1" ht="12.45" customHeight="1" spans="2:16378">
      <c r="B4" s="5" t="s">
        <v>22</v>
      </c>
      <c r="C4" s="5">
        <f>25.6+7.7</f>
        <v>33.3</v>
      </c>
      <c r="D4" s="6" t="s">
        <v>202</v>
      </c>
      <c r="E4" s="6">
        <f>19.84-1.48</f>
        <v>18.36</v>
      </c>
      <c r="F4" s="6">
        <f>17.01-0.03-0.15</f>
        <v>16.83</v>
      </c>
      <c r="G4" s="7">
        <f>E4-F4</f>
        <v>1.53</v>
      </c>
      <c r="H4" s="6">
        <f>0.36+0.35*2</f>
        <v>1.06</v>
      </c>
      <c r="I4" s="5">
        <f>G4*1*2+H4</f>
        <v>4.12</v>
      </c>
      <c r="J4" s="14">
        <f>(H4+I4)*G4/2</f>
        <v>3.96269999999999</v>
      </c>
      <c r="K4" s="15">
        <f>J4*C4*1.025</f>
        <v>135.25685775</v>
      </c>
      <c r="L4" s="15">
        <f>(H4*2+0.15*2)*0.15/2*C4</f>
        <v>6.04395</v>
      </c>
      <c r="M4" s="15">
        <f>((H4+0.15*2*1)+((H4+0.15*2*1)+(G4-0.15)*1*2))*(G4-0.15)/2*C4-3.14*0.18*0.18*C4</f>
        <v>122.5261512</v>
      </c>
      <c r="N4" s="15">
        <f>K4-L4-M4-3.14*0.18*0.18*C4</f>
        <v>3.29894774999998</v>
      </c>
      <c r="O4" s="16"/>
      <c r="XEX4"/>
    </row>
    <row r="5" s="1" customFormat="1" ht="12.45" customHeight="1" spans="2:16378">
      <c r="B5" s="5"/>
      <c r="C5" s="5"/>
      <c r="D5" s="6"/>
      <c r="E5" s="6"/>
      <c r="F5" s="6"/>
      <c r="G5" s="7"/>
      <c r="H5" s="6"/>
      <c r="I5" s="5"/>
      <c r="J5" s="14"/>
      <c r="K5" s="15"/>
      <c r="L5" s="15"/>
      <c r="M5" s="15"/>
      <c r="N5" s="15"/>
      <c r="O5" s="16"/>
      <c r="XEX5"/>
    </row>
    <row r="6" s="1" customFormat="1" ht="12.45" customHeight="1" spans="2:16378">
      <c r="B6" s="5" t="s">
        <v>28</v>
      </c>
      <c r="C6" s="5">
        <f>31.5+7.5</f>
        <v>39</v>
      </c>
      <c r="D6" s="6" t="s">
        <v>202</v>
      </c>
      <c r="E6" s="6">
        <f>19.69-1.48</f>
        <v>18.21</v>
      </c>
      <c r="F6" s="6">
        <f>15.97-0.06-0.15</f>
        <v>15.76</v>
      </c>
      <c r="G6" s="7">
        <f>E6-F6</f>
        <v>2.45</v>
      </c>
      <c r="H6" s="6">
        <f>0.36+0.35*2</f>
        <v>1.06</v>
      </c>
      <c r="I6" s="5">
        <f>G6*1*2+H6</f>
        <v>5.96</v>
      </c>
      <c r="J6" s="14">
        <f>(H6+I6)*G6/2</f>
        <v>8.59950000000001</v>
      </c>
      <c r="K6" s="15">
        <f>J6*C6*1.025</f>
        <v>343.7650125</v>
      </c>
      <c r="L6" s="15">
        <f>(H6*2+0.15*2)*0.15/2*C6</f>
        <v>7.0785</v>
      </c>
      <c r="M6" s="15">
        <f>((H6+0.15*2*1)+((H6+0.15*2*1)+(G6-0.15)*1*2))*(G6-0.15)/2*C6-3.14*0.18*0.18*C6</f>
        <v>324.334296</v>
      </c>
      <c r="N6" s="15">
        <f>K6-L6-M6-3.14*0.18*0.18*C6</f>
        <v>8.3845125</v>
      </c>
      <c r="O6" s="16"/>
      <c r="XEX6"/>
    </row>
    <row r="7" s="1" customFormat="1" ht="12.45" customHeight="1" spans="2:16378">
      <c r="B7" s="5"/>
      <c r="C7" s="5"/>
      <c r="D7" s="6"/>
      <c r="E7" s="6"/>
      <c r="F7" s="6"/>
      <c r="G7" s="7"/>
      <c r="H7" s="6"/>
      <c r="I7" s="5"/>
      <c r="J7" s="14"/>
      <c r="K7" s="15"/>
      <c r="L7" s="15"/>
      <c r="M7" s="15"/>
      <c r="N7" s="15"/>
      <c r="O7" s="16"/>
      <c r="XEX7"/>
    </row>
    <row r="8" s="1" customFormat="1" ht="12.45" customHeight="1" spans="2:16378">
      <c r="B8" s="5" t="s">
        <v>39</v>
      </c>
      <c r="C8" s="5">
        <f>23.2+8.8</f>
        <v>32</v>
      </c>
      <c r="D8" s="6" t="s">
        <v>202</v>
      </c>
      <c r="E8" s="6">
        <f>19.99-1.48</f>
        <v>18.51</v>
      </c>
      <c r="F8" s="6">
        <f>14.79-0.03-0.15</f>
        <v>14.61</v>
      </c>
      <c r="G8" s="7">
        <f>E8-F8</f>
        <v>3.9</v>
      </c>
      <c r="H8" s="6">
        <f>0.36+0.35*2</f>
        <v>1.06</v>
      </c>
      <c r="I8" s="5">
        <f>G8*1*2+H8</f>
        <v>8.86</v>
      </c>
      <c r="J8" s="14">
        <f>(H8+I8)*G8/2</f>
        <v>19.344</v>
      </c>
      <c r="K8" s="15">
        <f>J8*C8*1.025</f>
        <v>634.4832</v>
      </c>
      <c r="L8" s="15">
        <f>(H8*2+0.15*2)*0.15/2*C8</f>
        <v>5.808</v>
      </c>
      <c r="M8" s="15">
        <f>((H8+0.15*2*1)+((H8+0.15*2*1)+(G8-0.15)*1*2))*(G8-0.15)/2*C8-3.14*0.18*0.18*C8</f>
        <v>609.944448</v>
      </c>
      <c r="N8" s="15">
        <f>K8-L8-M8-3.14*0.18*0.18*C8</f>
        <v>15.4752000000001</v>
      </c>
      <c r="O8" s="16"/>
      <c r="XEX8"/>
    </row>
    <row r="9" s="1" customFormat="1" ht="12.45" customHeight="1" spans="2:16378">
      <c r="B9" s="5"/>
      <c r="C9" s="5"/>
      <c r="D9" s="6"/>
      <c r="E9" s="6"/>
      <c r="F9" s="6"/>
      <c r="G9" s="7"/>
      <c r="H9" s="6"/>
      <c r="I9" s="5"/>
      <c r="J9" s="14"/>
      <c r="K9" s="15"/>
      <c r="L9" s="15"/>
      <c r="M9" s="15"/>
      <c r="N9" s="15"/>
      <c r="O9" s="16"/>
      <c r="XEX9"/>
    </row>
    <row r="10" s="1" customFormat="1" ht="12.45" customHeight="1" spans="2:16378">
      <c r="B10" s="5" t="s">
        <v>48</v>
      </c>
      <c r="C10" s="5">
        <f>25.3+7.6</f>
        <v>32.9</v>
      </c>
      <c r="D10" s="6" t="s">
        <v>202</v>
      </c>
      <c r="E10" s="6">
        <f>20-1.48</f>
        <v>18.52</v>
      </c>
      <c r="F10" s="6">
        <f>16.16-0.03-0.15</f>
        <v>15.98</v>
      </c>
      <c r="G10" s="7">
        <f>E10-F10</f>
        <v>2.54</v>
      </c>
      <c r="H10" s="6">
        <f>0.36+0.35*2</f>
        <v>1.06</v>
      </c>
      <c r="I10" s="5">
        <f>G10*1*2+H10</f>
        <v>6.14</v>
      </c>
      <c r="J10" s="14">
        <f>(H10+I10)*G10/2</f>
        <v>9.14400000000001</v>
      </c>
      <c r="K10" s="15">
        <f>J10*C10*1.025</f>
        <v>308.35854</v>
      </c>
      <c r="L10" s="15">
        <f>(H10*2+0.15*2)*0.15/2*C10</f>
        <v>5.97135</v>
      </c>
      <c r="M10" s="15">
        <f>((H10+0.15*2*1)+((H10+0.15*2*1)+(G10-0.15)*1*2))*(G10-0.15)/2*C10-3.14*0.18*0.18*C10</f>
        <v>291.5191356</v>
      </c>
      <c r="N10" s="15">
        <f>K10-L10-M10-3.14*0.18*0.18*C10</f>
        <v>7.52094000000006</v>
      </c>
      <c r="O10" s="16"/>
      <c r="XEX10"/>
    </row>
    <row r="11" s="1" customFormat="1" ht="12.45" customHeight="1" spans="2:16378">
      <c r="B11" s="5"/>
      <c r="C11" s="5"/>
      <c r="D11" s="6"/>
      <c r="E11" s="6"/>
      <c r="F11" s="6"/>
      <c r="G11" s="7"/>
      <c r="H11" s="6"/>
      <c r="I11" s="5"/>
      <c r="J11" s="14"/>
      <c r="K11" s="15"/>
      <c r="L11" s="15"/>
      <c r="M11" s="15"/>
      <c r="N11" s="15"/>
      <c r="O11" s="16"/>
      <c r="XEX11"/>
    </row>
    <row r="12" s="1" customFormat="1" ht="12.45" customHeight="1" spans="2:16378">
      <c r="B12" s="5" t="s">
        <v>60</v>
      </c>
      <c r="C12" s="5">
        <f>7.5</f>
        <v>7.5</v>
      </c>
      <c r="D12" s="6" t="s">
        <v>202</v>
      </c>
      <c r="E12" s="6">
        <f>19.24-1.48</f>
        <v>17.76</v>
      </c>
      <c r="F12" s="6">
        <f>16.92-0.03-0.15</f>
        <v>16.74</v>
      </c>
      <c r="G12" s="8">
        <f>E12-F12</f>
        <v>1.02</v>
      </c>
      <c r="H12" s="8">
        <f>0.36+0.35*2</f>
        <v>1.06</v>
      </c>
      <c r="I12" s="17">
        <v>1.06</v>
      </c>
      <c r="J12" s="14">
        <f>I12*G12</f>
        <v>1.0812</v>
      </c>
      <c r="K12" s="15">
        <f>J12*C12*1.025</f>
        <v>8.31172499999997</v>
      </c>
      <c r="L12" s="15">
        <f>H12*0.15*C12</f>
        <v>1.1925</v>
      </c>
      <c r="M12" s="15">
        <f>(G12-0.15)*H12*C12-3.14*0.18*0.18*C12</f>
        <v>6.15347999999997</v>
      </c>
      <c r="N12" s="15">
        <f>K12-L12-M12-3.14*0.18*0.18*C12</f>
        <v>0.202725000000001</v>
      </c>
      <c r="O12" s="16"/>
      <c r="XEX12"/>
    </row>
    <row r="13" s="1" customFormat="1" ht="12.45" customHeight="1" spans="2:16378">
      <c r="B13" s="5"/>
      <c r="C13" s="5"/>
      <c r="D13" s="6"/>
      <c r="E13" s="6"/>
      <c r="F13" s="6"/>
      <c r="G13" s="8"/>
      <c r="H13" s="8"/>
      <c r="I13" s="17"/>
      <c r="J13" s="14"/>
      <c r="K13" s="15"/>
      <c r="L13" s="15"/>
      <c r="M13" s="15"/>
      <c r="N13" s="15"/>
      <c r="O13" s="16"/>
      <c r="XEX13"/>
    </row>
    <row r="14" s="1" customFormat="1" ht="12.45" customHeight="1" spans="2:16378">
      <c r="B14" s="5" t="s">
        <v>66</v>
      </c>
      <c r="C14" s="5">
        <f>24.7+8.8</f>
        <v>33.5</v>
      </c>
      <c r="D14" s="6" t="s">
        <v>202</v>
      </c>
      <c r="E14" s="6">
        <f>19.67-1.48</f>
        <v>18.19</v>
      </c>
      <c r="F14" s="6">
        <f>17.64-0.03-0.15</f>
        <v>17.46</v>
      </c>
      <c r="G14" s="8">
        <v>1.01</v>
      </c>
      <c r="H14" s="8">
        <f>0.36+0.35*2</f>
        <v>1.06</v>
      </c>
      <c r="I14" s="17">
        <v>1.06</v>
      </c>
      <c r="J14" s="14">
        <f>I14*G14</f>
        <v>1.0706</v>
      </c>
      <c r="K14" s="15">
        <f>J14*C14*1.025</f>
        <v>36.7617275</v>
      </c>
      <c r="L14" s="15">
        <f>H14*0.15*C14</f>
        <v>5.3265</v>
      </c>
      <c r="M14" s="15">
        <f>(G14-0.15)*H14*C14-3.14*0.18*0.18*C14</f>
        <v>27.130444</v>
      </c>
      <c r="N14" s="15">
        <f>K14-L14-M14-3.14*0.18*0.18*C14</f>
        <v>0.896627499999992</v>
      </c>
      <c r="O14" s="16"/>
      <c r="XEX14"/>
    </row>
    <row r="15" s="1" customFormat="1" ht="12.45" customHeight="1" spans="2:16378">
      <c r="B15" s="5"/>
      <c r="C15" s="5"/>
      <c r="D15" s="6"/>
      <c r="E15" s="6"/>
      <c r="F15" s="6"/>
      <c r="G15" s="8"/>
      <c r="H15" s="8"/>
      <c r="I15" s="17"/>
      <c r="J15" s="14"/>
      <c r="K15" s="15"/>
      <c r="L15" s="15"/>
      <c r="M15" s="15"/>
      <c r="N15" s="15"/>
      <c r="O15" s="16"/>
      <c r="XEX15"/>
    </row>
    <row r="16" s="1" customFormat="1" ht="12.45" customHeight="1" spans="2:16378">
      <c r="B16" s="5" t="s">
        <v>70</v>
      </c>
      <c r="C16" s="5">
        <f>32.8+8.6</f>
        <v>41.4</v>
      </c>
      <c r="D16" s="6" t="s">
        <v>202</v>
      </c>
      <c r="E16" s="6">
        <f>19.96-1.48</f>
        <v>18.48</v>
      </c>
      <c r="F16" s="6">
        <f>17.78-0.03-0.15</f>
        <v>17.6</v>
      </c>
      <c r="G16" s="8">
        <v>1.01</v>
      </c>
      <c r="H16" s="8">
        <f>0.36+0.35*2</f>
        <v>1.06</v>
      </c>
      <c r="I16" s="17">
        <v>1.06</v>
      </c>
      <c r="J16" s="14">
        <f>I16*G16</f>
        <v>1.0706</v>
      </c>
      <c r="K16" s="15">
        <f>J16*C16*1.025</f>
        <v>45.430911</v>
      </c>
      <c r="L16" s="15">
        <f>H16*0.15*C16</f>
        <v>6.5826</v>
      </c>
      <c r="M16" s="15">
        <f>(G16-0.15)*H16*C16-3.14*0.18*0.18*C16</f>
        <v>33.5283696</v>
      </c>
      <c r="N16" s="15">
        <f>K16-L16-M16-3.14*0.18*0.18*C16</f>
        <v>1.108071</v>
      </c>
      <c r="O16" s="16"/>
      <c r="XEX16"/>
    </row>
    <row r="17" s="1" customFormat="1" ht="12.45" customHeight="1" spans="2:16378">
      <c r="B17" s="5"/>
      <c r="C17" s="5"/>
      <c r="D17" s="6"/>
      <c r="E17" s="6"/>
      <c r="F17" s="6"/>
      <c r="G17" s="8"/>
      <c r="H17" s="8"/>
      <c r="I17" s="17"/>
      <c r="J17" s="14"/>
      <c r="K17" s="15"/>
      <c r="L17" s="15"/>
      <c r="M17" s="15"/>
      <c r="N17" s="15"/>
      <c r="O17" s="16"/>
      <c r="XEX17"/>
    </row>
    <row r="18" s="1" customFormat="1" ht="12.45" customHeight="1" spans="2:16378">
      <c r="B18" s="5" t="s">
        <v>85</v>
      </c>
      <c r="C18" s="5">
        <f>30.7+6.7</f>
        <v>37.4</v>
      </c>
      <c r="D18" s="6" t="s">
        <v>202</v>
      </c>
      <c r="E18" s="6">
        <f>19.92-1.48</f>
        <v>18.44</v>
      </c>
      <c r="F18" s="6">
        <f>17.93-0.03-0.15</f>
        <v>17.75</v>
      </c>
      <c r="G18" s="8">
        <v>1.01</v>
      </c>
      <c r="H18" s="8">
        <f>0.36+0.35*2</f>
        <v>1.06</v>
      </c>
      <c r="I18" s="17">
        <v>1.06</v>
      </c>
      <c r="J18" s="14">
        <f>I18*G18</f>
        <v>1.0706</v>
      </c>
      <c r="K18" s="15">
        <f>J18*C18*1.025</f>
        <v>41.041451</v>
      </c>
      <c r="L18" s="15">
        <f>H18*0.15*C18</f>
        <v>5.9466</v>
      </c>
      <c r="M18" s="15">
        <f>(G18-0.15)*H18*C18-3.14*0.18*0.18*C18</f>
        <v>30.2889136</v>
      </c>
      <c r="N18" s="15">
        <f>K18-L18-M18-3.14*0.18*0.18*C18</f>
        <v>1.00101099999999</v>
      </c>
      <c r="O18" s="16"/>
      <c r="XEX18"/>
    </row>
    <row r="19" s="1" customFormat="1" ht="12.45" customHeight="1" spans="2:16378">
      <c r="B19" s="5"/>
      <c r="C19" s="5"/>
      <c r="D19" s="6"/>
      <c r="E19" s="6"/>
      <c r="F19" s="6"/>
      <c r="G19" s="8"/>
      <c r="H19" s="8"/>
      <c r="I19" s="17"/>
      <c r="J19" s="14"/>
      <c r="K19" s="15"/>
      <c r="L19" s="15"/>
      <c r="M19" s="15"/>
      <c r="N19" s="15"/>
      <c r="O19" s="16"/>
      <c r="XEX19"/>
    </row>
    <row r="20" s="1" customFormat="1" ht="12.45" customHeight="1" spans="2:16378">
      <c r="B20" s="5" t="s">
        <v>91</v>
      </c>
      <c r="C20" s="5">
        <f>32.5+7.4</f>
        <v>39.9</v>
      </c>
      <c r="D20" s="6" t="s">
        <v>202</v>
      </c>
      <c r="E20" s="6">
        <f>19.58-1.48</f>
        <v>18.1</v>
      </c>
      <c r="F20" s="6">
        <f>18.1-0.03-0.15</f>
        <v>17.92</v>
      </c>
      <c r="G20" s="8">
        <v>1.01</v>
      </c>
      <c r="H20" s="8">
        <f>0.36+0.35*2</f>
        <v>1.06</v>
      </c>
      <c r="I20" s="17">
        <v>1.06</v>
      </c>
      <c r="J20" s="14">
        <f>I20*G20</f>
        <v>1.0706</v>
      </c>
      <c r="K20" s="15">
        <f>J20*C20*1.025</f>
        <v>43.7848635</v>
      </c>
      <c r="L20" s="15">
        <f>H20*0.15*C20</f>
        <v>6.3441</v>
      </c>
      <c r="M20" s="15">
        <f>(G20-0.15)*H20*C20-3.14*0.18*0.18*C20</f>
        <v>32.3135736</v>
      </c>
      <c r="N20" s="15">
        <f>K20-L20-M20-3.14*0.18*0.18*C20</f>
        <v>1.0679235</v>
      </c>
      <c r="O20" s="16"/>
      <c r="XEX20"/>
    </row>
    <row r="21" s="1" customFormat="1" ht="12.45" customHeight="1" spans="2:16378">
      <c r="B21" s="5"/>
      <c r="C21" s="5"/>
      <c r="D21" s="6"/>
      <c r="E21" s="6"/>
      <c r="F21" s="6"/>
      <c r="G21" s="8"/>
      <c r="H21" s="8"/>
      <c r="I21" s="17"/>
      <c r="J21" s="14"/>
      <c r="K21" s="15"/>
      <c r="L21" s="15"/>
      <c r="M21" s="15"/>
      <c r="N21" s="15"/>
      <c r="O21" s="16"/>
      <c r="XEX21"/>
    </row>
    <row r="22" s="1" customFormat="1" ht="12.45" customHeight="1" spans="2:16378">
      <c r="B22" s="5"/>
      <c r="C22" s="5"/>
      <c r="D22" s="6"/>
      <c r="E22" s="6"/>
      <c r="F22" s="6"/>
      <c r="G22" s="6"/>
      <c r="H22" s="6"/>
      <c r="I22" s="5"/>
      <c r="J22" s="14"/>
      <c r="K22" s="15"/>
      <c r="L22" s="15"/>
      <c r="M22" s="15"/>
      <c r="N22" s="15"/>
      <c r="O22" s="16"/>
      <c r="XEX22"/>
    </row>
    <row r="23" s="1" customFormat="1" ht="12.45" customHeight="1" spans="2:16378">
      <c r="B23" s="5"/>
      <c r="C23" s="5"/>
      <c r="D23" s="6"/>
      <c r="E23" s="6"/>
      <c r="F23" s="6"/>
      <c r="G23" s="6"/>
      <c r="H23" s="6"/>
      <c r="I23" s="5"/>
      <c r="J23" s="14"/>
      <c r="K23" s="15"/>
      <c r="L23" s="15"/>
      <c r="M23" s="15"/>
      <c r="N23" s="15"/>
      <c r="O23" s="16"/>
      <c r="XEX23"/>
    </row>
    <row r="24" s="1" customFormat="1" ht="12.45" customHeight="1" spans="2:16378">
      <c r="B24" s="9" t="s">
        <v>209</v>
      </c>
      <c r="C24" s="5"/>
      <c r="D24" s="10" t="s">
        <v>210</v>
      </c>
      <c r="E24" s="6"/>
      <c r="F24" s="6"/>
      <c r="G24" s="6"/>
      <c r="H24" s="6"/>
      <c r="I24" s="5"/>
      <c r="J24" s="14"/>
      <c r="K24" s="15"/>
      <c r="L24" s="15"/>
      <c r="M24" s="15"/>
      <c r="N24" s="15"/>
      <c r="O24" s="16"/>
      <c r="XEX24"/>
    </row>
    <row r="25" s="1" customFormat="1" spans="2:16378">
      <c r="B25" s="9"/>
      <c r="C25" s="5"/>
      <c r="D25" s="10"/>
      <c r="E25" s="6"/>
      <c r="F25" s="6"/>
      <c r="G25" s="6"/>
      <c r="H25" s="6"/>
      <c r="I25" s="5"/>
      <c r="J25" s="14"/>
      <c r="K25" s="15"/>
      <c r="L25" s="15"/>
      <c r="M25" s="15"/>
      <c r="N25" s="15"/>
      <c r="O25" s="16"/>
      <c r="XEX25"/>
    </row>
    <row r="26" s="1" customFormat="1" spans="2:16378">
      <c r="B26" s="9" t="s">
        <v>203</v>
      </c>
      <c r="C26" s="9">
        <f>SUM(C4:C25)</f>
        <v>296.9</v>
      </c>
      <c r="D26" s="10"/>
      <c r="E26" s="6"/>
      <c r="F26" s="6"/>
      <c r="G26" s="6"/>
      <c r="H26" s="10"/>
      <c r="I26" s="9"/>
      <c r="J26" s="10"/>
      <c r="K26" s="18">
        <f>SUM(K4:K25)</f>
        <v>1597.19428825</v>
      </c>
      <c r="L26" s="18">
        <f>SUM(L4:L25)</f>
        <v>50.2941</v>
      </c>
      <c r="M26" s="18">
        <f>SUM(M4:M25)</f>
        <v>1477.7388116</v>
      </c>
      <c r="N26" s="18">
        <f>SUM(N4:N25)</f>
        <v>38.9559582500001</v>
      </c>
      <c r="XEX26"/>
    </row>
    <row r="27" s="1" customFormat="1" spans="2:16378">
      <c r="B27" s="9"/>
      <c r="C27" s="9"/>
      <c r="D27" s="10"/>
      <c r="E27" s="6"/>
      <c r="F27" s="6"/>
      <c r="G27" s="6"/>
      <c r="H27" s="10"/>
      <c r="I27" s="9"/>
      <c r="J27" s="10"/>
      <c r="K27" s="18"/>
      <c r="L27" s="18"/>
      <c r="M27" s="18"/>
      <c r="N27" s="18"/>
      <c r="XEX27"/>
    </row>
  </sheetData>
  <mergeCells count="168">
    <mergeCell ref="B1:N1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G4:G5"/>
    <mergeCell ref="G6:G7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H4:H5"/>
    <mergeCell ref="H6:H7"/>
    <mergeCell ref="H8:H9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I4:I5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J4:J5"/>
    <mergeCell ref="J6:J7"/>
    <mergeCell ref="J8:J9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K4:K5"/>
    <mergeCell ref="K6:K7"/>
    <mergeCell ref="K8:K9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L4:L5"/>
    <mergeCell ref="L6:L7"/>
    <mergeCell ref="L8:L9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M4:M5"/>
    <mergeCell ref="M6:M7"/>
    <mergeCell ref="M8:M9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N4:N5"/>
    <mergeCell ref="N6:N7"/>
    <mergeCell ref="N8:N9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O4:O5"/>
    <mergeCell ref="O6:O7"/>
    <mergeCell ref="O8:O9"/>
    <mergeCell ref="O10:O11"/>
    <mergeCell ref="O12:O13"/>
    <mergeCell ref="O14:O15"/>
    <mergeCell ref="O16:O17"/>
    <mergeCell ref="O18:O19"/>
    <mergeCell ref="O20:O21"/>
    <mergeCell ref="O22:O23"/>
    <mergeCell ref="O24:O2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污水管主管</vt:lpstr>
      <vt:lpstr>雨水主管</vt:lpstr>
      <vt:lpstr>雨水支连管DN300</vt:lpstr>
      <vt:lpstr>雨水街坊支管DN600</vt:lpstr>
      <vt:lpstr>污水街坊支管DN300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刘洪</dc:creator>
  <cp:lastModifiedBy>胡虎</cp:lastModifiedBy>
  <dcterms:created xsi:type="dcterms:W3CDTF">2015-06-05T18:19:00Z</dcterms:created>
  <cp:lastPrinted>2021-05-24T15:00:00Z</cp:lastPrinted>
  <dcterms:modified xsi:type="dcterms:W3CDTF">2023-08-17T02:58:00Z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414414179D6A4736BA16758785F72A19</vt:lpwstr>
  </property>
  <property fmtid="{D5CDD505-2E9C-101B-9397-08002B2CF9AE}" pid="3" name="KSOProductBuildVer">
    <vt:lpwstr>2052-12.1.0.15336</vt:lpwstr>
  </property>
</Properties>
</file>